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20" windowWidth="21075" windowHeight="12075"/>
  </bookViews>
  <sheets>
    <sheet name="Favorit" sheetId="14" r:id="rId1"/>
    <sheet name="KBA " sheetId="15" r:id="rId2"/>
    <sheet name="praktika" sheetId="24" r:id="rId3"/>
    <sheet name="печатный" sheetId="6" r:id="rId4"/>
    <sheet name="категория" sheetId="4" r:id="rId5"/>
    <sheet name="Лист3" sheetId="1" r:id="rId6"/>
    <sheet name="Лист4" sheetId="3" r:id="rId7"/>
  </sheets>
  <calcPr calcId="145621" refMode="R1C1"/>
</workbook>
</file>

<file path=xl/calcChain.xml><?xml version="1.0" encoding="utf-8"?>
<calcChain xmlns="http://schemas.openxmlformats.org/spreadsheetml/2006/main">
  <c r="W26" i="24" l="1"/>
  <c r="D12" i="6"/>
  <c r="D34" i="6"/>
  <c r="V18" i="6" l="1"/>
  <c r="V24" i="6"/>
  <c r="V26" i="6"/>
  <c r="W68" i="24"/>
  <c r="T26" i="6"/>
  <c r="T24" i="6"/>
  <c r="T18" i="6"/>
  <c r="T17" i="6"/>
  <c r="V17" i="6" s="1"/>
  <c r="T11" i="6"/>
  <c r="W56" i="24"/>
  <c r="W40" i="24"/>
  <c r="W36" i="24"/>
  <c r="C36" i="24"/>
  <c r="W24" i="24"/>
  <c r="W31" i="24"/>
  <c r="W28" i="24"/>
  <c r="C28" i="24"/>
  <c r="W12" i="24"/>
  <c r="C5" i="24"/>
  <c r="S6" i="6"/>
  <c r="S7" i="6"/>
  <c r="S12" i="6"/>
  <c r="S13" i="6"/>
  <c r="S14" i="6"/>
  <c r="S15" i="6"/>
  <c r="S18" i="6"/>
  <c r="S19" i="6"/>
  <c r="S20" i="6"/>
  <c r="S24" i="6"/>
  <c r="S25" i="6"/>
  <c r="S26" i="6"/>
  <c r="S27" i="6"/>
  <c r="S30" i="6"/>
  <c r="S31" i="6"/>
  <c r="S32" i="6"/>
  <c r="S33" i="6"/>
  <c r="P12" i="6"/>
  <c r="P13" i="6"/>
  <c r="P16" i="6"/>
  <c r="P17" i="6"/>
  <c r="P18" i="6"/>
  <c r="P19" i="6"/>
  <c r="P22" i="6"/>
  <c r="P23" i="6"/>
  <c r="P24" i="6"/>
  <c r="P25" i="6"/>
  <c r="P28" i="6"/>
  <c r="P29" i="6"/>
  <c r="P30" i="6"/>
  <c r="P31" i="6"/>
  <c r="P11" i="6"/>
  <c r="M10" i="6"/>
  <c r="M11" i="6"/>
  <c r="M14" i="6"/>
  <c r="M15" i="6"/>
  <c r="M16" i="6"/>
  <c r="M17" i="6"/>
  <c r="M20" i="6"/>
  <c r="M21" i="6"/>
  <c r="M22" i="6"/>
  <c r="M23" i="6"/>
  <c r="M26" i="6"/>
  <c r="M27" i="6"/>
  <c r="M28" i="6"/>
  <c r="M29" i="6"/>
  <c r="M32" i="6"/>
  <c r="M33" i="6"/>
  <c r="K33" i="6"/>
  <c r="Q33" i="6"/>
  <c r="K32" i="6"/>
  <c r="Q32" i="6"/>
  <c r="N31" i="6"/>
  <c r="Q31" i="6"/>
  <c r="N30" i="6"/>
  <c r="Q30" i="6"/>
  <c r="N29" i="6"/>
  <c r="K29" i="6"/>
  <c r="N28" i="6"/>
  <c r="K28" i="6"/>
  <c r="Q27" i="6"/>
  <c r="K27" i="6"/>
  <c r="Q26" i="6"/>
  <c r="K26" i="6"/>
  <c r="Q25" i="6"/>
  <c r="N25" i="6"/>
  <c r="Q24" i="6"/>
  <c r="N24" i="6"/>
  <c r="K23" i="6"/>
  <c r="N23" i="6"/>
  <c r="K22" i="6"/>
  <c r="N22" i="6"/>
  <c r="K21" i="6"/>
  <c r="K20" i="6"/>
  <c r="Q20" i="6"/>
  <c r="N19" i="6"/>
  <c r="Q19" i="6"/>
  <c r="N18" i="6"/>
  <c r="Q18" i="6"/>
  <c r="W352" i="15"/>
  <c r="N17" i="6"/>
  <c r="K17" i="6"/>
  <c r="N16" i="6"/>
  <c r="Q15" i="6"/>
  <c r="K15" i="6"/>
  <c r="Q14" i="6"/>
  <c r="K14" i="6"/>
  <c r="Q13" i="6"/>
  <c r="N13" i="6"/>
  <c r="Q12" i="6"/>
  <c r="N12" i="6"/>
  <c r="K11" i="6"/>
  <c r="N11" i="6"/>
  <c r="W110" i="15"/>
  <c r="C110" i="15"/>
  <c r="K10" i="6"/>
  <c r="N10" i="6"/>
  <c r="N7" i="6"/>
  <c r="Q7" i="6"/>
  <c r="N6" i="6"/>
  <c r="Q6" i="6"/>
  <c r="N5" i="6"/>
  <c r="K5" i="6"/>
  <c r="J20" i="6"/>
  <c r="J22" i="6"/>
  <c r="J23" i="6"/>
  <c r="J26" i="6"/>
  <c r="J29" i="6"/>
  <c r="J32" i="6"/>
  <c r="J33" i="6"/>
  <c r="D10" i="6"/>
  <c r="D11" i="6"/>
  <c r="D13" i="6"/>
  <c r="D16" i="6"/>
  <c r="D18" i="6"/>
  <c r="D19" i="6"/>
  <c r="D22" i="6"/>
  <c r="D23" i="6"/>
  <c r="D24" i="6"/>
  <c r="D25" i="6"/>
  <c r="D28" i="6"/>
  <c r="D29" i="6"/>
  <c r="D30" i="6"/>
  <c r="D31" i="6"/>
  <c r="G6" i="6"/>
  <c r="G12" i="6"/>
  <c r="G13" i="6"/>
  <c r="G14" i="6"/>
  <c r="G15" i="6"/>
  <c r="G18" i="6"/>
  <c r="G19" i="6"/>
  <c r="G20" i="6"/>
  <c r="G24" i="6"/>
  <c r="G25" i="6"/>
  <c r="G26" i="6"/>
  <c r="G27" i="6"/>
  <c r="G33" i="6"/>
  <c r="E33" i="6"/>
  <c r="H33" i="6"/>
  <c r="H32" i="6"/>
  <c r="B31" i="6"/>
  <c r="B30" i="6"/>
  <c r="H29" i="6"/>
  <c r="B29" i="6"/>
  <c r="B28" i="6"/>
  <c r="E27" i="6"/>
  <c r="H26" i="6"/>
  <c r="E26" i="6"/>
  <c r="B25" i="6"/>
  <c r="E25" i="6"/>
  <c r="B24" i="6"/>
  <c r="E24" i="6"/>
  <c r="B23" i="6"/>
  <c r="H23" i="6"/>
  <c r="B22" i="6"/>
  <c r="H22" i="6"/>
  <c r="E20" i="6"/>
  <c r="H20" i="6"/>
  <c r="E19" i="6"/>
  <c r="B19" i="6"/>
  <c r="E18" i="6"/>
  <c r="H17" i="6"/>
  <c r="B17" i="6"/>
  <c r="H16" i="6"/>
  <c r="B16" i="6"/>
  <c r="H15" i="6"/>
  <c r="B13" i="6"/>
  <c r="E13" i="6"/>
  <c r="E12" i="6"/>
  <c r="B11" i="6"/>
  <c r="H11" i="6"/>
  <c r="B10" i="6"/>
  <c r="H10" i="6"/>
  <c r="B7" i="6"/>
  <c r="E6" i="6"/>
  <c r="B6" i="6"/>
  <c r="B5" i="6"/>
  <c r="C216" i="4" l="1"/>
  <c r="W384" i="14"/>
  <c r="W377" i="14"/>
  <c r="C377" i="14"/>
  <c r="C378" i="14"/>
  <c r="C379" i="14"/>
  <c r="C380" i="14"/>
  <c r="C381" i="14"/>
  <c r="C382" i="14"/>
  <c r="C383" i="14"/>
  <c r="C384" i="14"/>
  <c r="C385" i="14"/>
  <c r="C376" i="14"/>
  <c r="W374" i="14"/>
  <c r="W366" i="14"/>
  <c r="C367" i="14"/>
  <c r="C368" i="14"/>
  <c r="C369" i="14"/>
  <c r="C370" i="14"/>
  <c r="C371" i="14"/>
  <c r="C372" i="14"/>
  <c r="C373" i="14"/>
  <c r="C374" i="14"/>
  <c r="C366" i="14"/>
  <c r="W373" i="14"/>
  <c r="W378" i="14"/>
  <c r="V364" i="14"/>
  <c r="V365" i="14"/>
  <c r="V366" i="14"/>
  <c r="V372" i="14"/>
  <c r="W372" i="14" s="1"/>
  <c r="V375" i="14"/>
  <c r="V382" i="14"/>
  <c r="W382" i="14" s="1"/>
  <c r="W362" i="14"/>
  <c r="C358" i="14"/>
  <c r="C359" i="14"/>
  <c r="C360" i="14"/>
  <c r="C361" i="14"/>
  <c r="C362" i="14"/>
  <c r="C357" i="14"/>
  <c r="W353" i="14"/>
  <c r="W349" i="14"/>
  <c r="W347" i="14"/>
  <c r="C348" i="14"/>
  <c r="C349" i="14"/>
  <c r="C350" i="14"/>
  <c r="C351" i="14"/>
  <c r="C352" i="14"/>
  <c r="C353" i="14"/>
  <c r="C347" i="14"/>
  <c r="W341" i="14"/>
  <c r="W337" i="14"/>
  <c r="C337" i="14"/>
  <c r="C338" i="14"/>
  <c r="C339" i="14"/>
  <c r="C340" i="14"/>
  <c r="C341" i="14"/>
  <c r="C336" i="14"/>
  <c r="W321" i="14"/>
  <c r="C321" i="14"/>
  <c r="C322" i="14"/>
  <c r="C323" i="14"/>
  <c r="C324" i="14"/>
  <c r="C325" i="14"/>
  <c r="C326" i="14"/>
  <c r="C327" i="14"/>
  <c r="C328" i="14"/>
  <c r="C320" i="14"/>
  <c r="W326" i="14"/>
  <c r="W322" i="14"/>
  <c r="W308" i="14"/>
  <c r="W310" i="14"/>
  <c r="W314" i="14"/>
  <c r="W318" i="14"/>
  <c r="C307" i="14"/>
  <c r="C308" i="14"/>
  <c r="C309" i="14"/>
  <c r="C310" i="14"/>
  <c r="C311" i="14"/>
  <c r="C312" i="14"/>
  <c r="C313" i="14"/>
  <c r="C314" i="14"/>
  <c r="C315" i="14"/>
  <c r="C316" i="14"/>
  <c r="C317" i="14"/>
  <c r="C318" i="14"/>
  <c r="C306" i="14"/>
  <c r="W297" i="14"/>
  <c r="W275" i="14"/>
  <c r="W271" i="14"/>
  <c r="W270" i="14"/>
  <c r="C265" i="14"/>
  <c r="C266" i="14"/>
  <c r="C267" i="14"/>
  <c r="C268" i="14"/>
  <c r="C269" i="14"/>
  <c r="C270" i="14"/>
  <c r="C271" i="14"/>
  <c r="C272" i="14"/>
  <c r="C273" i="14"/>
  <c r="C274" i="14"/>
  <c r="C275" i="14"/>
  <c r="C276" i="14"/>
  <c r="C277" i="14"/>
  <c r="C278" i="14"/>
  <c r="C264" i="14"/>
  <c r="W262" i="14"/>
  <c r="C259" i="14"/>
  <c r="C260" i="14"/>
  <c r="C261" i="14"/>
  <c r="C262" i="14"/>
  <c r="C258" i="14"/>
  <c r="W246" i="14"/>
  <c r="C246" i="14"/>
  <c r="C247" i="14"/>
  <c r="C248" i="14"/>
  <c r="C249" i="14"/>
  <c r="C250" i="14"/>
  <c r="C251" i="14"/>
  <c r="C252" i="14"/>
  <c r="C253" i="14"/>
  <c r="C254" i="14"/>
  <c r="C255" i="14"/>
  <c r="C256" i="14"/>
  <c r="C245" i="14"/>
  <c r="W247" i="14"/>
  <c r="W242" i="14"/>
  <c r="W238" i="14"/>
  <c r="W237" i="14"/>
  <c r="C235" i="14"/>
  <c r="C236" i="14"/>
  <c r="C237" i="14"/>
  <c r="C238" i="14"/>
  <c r="C239" i="14"/>
  <c r="C240" i="14"/>
  <c r="C241" i="14"/>
  <c r="C242" i="14"/>
  <c r="C243" i="14"/>
  <c r="C234" i="14"/>
  <c r="W219" i="14"/>
  <c r="C218" i="14"/>
  <c r="C219" i="14"/>
  <c r="C220" i="14"/>
  <c r="C221" i="14"/>
  <c r="C222" i="14"/>
  <c r="C223" i="14"/>
  <c r="C224" i="14"/>
  <c r="C225" i="14"/>
  <c r="C226" i="14"/>
  <c r="C227" i="14"/>
  <c r="C228" i="14"/>
  <c r="C229" i="14"/>
  <c r="C230" i="14"/>
  <c r="C231" i="14"/>
  <c r="C232" i="14"/>
  <c r="C217" i="14"/>
  <c r="W210" i="14"/>
  <c r="W215" i="14"/>
  <c r="C209" i="14"/>
  <c r="C210" i="14"/>
  <c r="C211" i="14"/>
  <c r="C212" i="14"/>
  <c r="C213" i="14"/>
  <c r="C214" i="14"/>
  <c r="C215" i="14"/>
  <c r="C208" i="14"/>
  <c r="W202" i="14"/>
  <c r="C198" i="14"/>
  <c r="C199" i="14"/>
  <c r="C200" i="14"/>
  <c r="C201" i="14"/>
  <c r="C202" i="14"/>
  <c r="C197" i="14"/>
  <c r="W190" i="14"/>
  <c r="C186" i="14"/>
  <c r="C187" i="14"/>
  <c r="C188" i="14"/>
  <c r="C189" i="14"/>
  <c r="C190" i="14"/>
  <c r="C191" i="14"/>
  <c r="C192" i="14"/>
  <c r="C193" i="14"/>
  <c r="C194" i="14"/>
  <c r="C195" i="14"/>
  <c r="C185" i="14"/>
  <c r="W180" i="14"/>
  <c r="W171" i="14"/>
  <c r="C171" i="14"/>
  <c r="C172" i="14"/>
  <c r="C173" i="14"/>
  <c r="C174" i="14"/>
  <c r="C175" i="14"/>
  <c r="C176" i="14"/>
  <c r="C177" i="14"/>
  <c r="C178" i="14"/>
  <c r="C179" i="14"/>
  <c r="C180" i="14"/>
  <c r="C181" i="14"/>
  <c r="C182" i="14"/>
  <c r="C183" i="14"/>
  <c r="C170" i="14"/>
  <c r="W165" i="14"/>
  <c r="W168" i="14"/>
  <c r="C159" i="14"/>
  <c r="C160" i="14"/>
  <c r="C161" i="14"/>
  <c r="C162" i="14"/>
  <c r="C163" i="14"/>
  <c r="C164" i="14"/>
  <c r="C165" i="14"/>
  <c r="C166" i="14"/>
  <c r="C167" i="14"/>
  <c r="C168" i="14"/>
  <c r="C158" i="14"/>
  <c r="W156" i="14"/>
  <c r="C150" i="14"/>
  <c r="C151" i="14"/>
  <c r="C152" i="14"/>
  <c r="C153" i="14"/>
  <c r="C154" i="14"/>
  <c r="C155" i="14"/>
  <c r="C156" i="14"/>
  <c r="C149" i="14"/>
  <c r="W137" i="14"/>
  <c r="W145" i="14"/>
  <c r="W138" i="14"/>
  <c r="C136" i="14"/>
  <c r="C137" i="14"/>
  <c r="C138" i="14"/>
  <c r="C139" i="14"/>
  <c r="C140" i="14"/>
  <c r="C141" i="14"/>
  <c r="C142" i="14"/>
  <c r="C143" i="14"/>
  <c r="C144" i="14"/>
  <c r="C145" i="14"/>
  <c r="C135" i="14"/>
  <c r="W127" i="14"/>
  <c r="W122" i="14"/>
  <c r="C122" i="14"/>
  <c r="C123" i="14"/>
  <c r="C124" i="14"/>
  <c r="C125" i="14"/>
  <c r="C126" i="14"/>
  <c r="C127" i="14"/>
  <c r="C128" i="14"/>
  <c r="C121" i="14"/>
  <c r="W113" i="14"/>
  <c r="W116" i="14"/>
  <c r="C107" i="14"/>
  <c r="C108" i="14"/>
  <c r="C109" i="14"/>
  <c r="C110" i="14"/>
  <c r="C111" i="14"/>
  <c r="C112" i="14"/>
  <c r="C113" i="14"/>
  <c r="C114" i="14"/>
  <c r="C115" i="14"/>
  <c r="C116" i="14"/>
  <c r="C106" i="14"/>
  <c r="W97" i="14"/>
  <c r="C94" i="14"/>
  <c r="C95" i="14"/>
  <c r="C96" i="14"/>
  <c r="C97" i="14"/>
  <c r="C93" i="14"/>
  <c r="W86" i="14"/>
  <c r="C86" i="14"/>
  <c r="C87" i="14"/>
  <c r="C88" i="14"/>
  <c r="C89" i="14"/>
  <c r="C90" i="14"/>
  <c r="C91" i="14"/>
  <c r="C85" i="14"/>
  <c r="W78" i="14"/>
  <c r="W81" i="14"/>
  <c r="C78" i="14"/>
  <c r="C79" i="14"/>
  <c r="C80" i="14"/>
  <c r="C81" i="14"/>
  <c r="C77" i="14"/>
  <c r="W69" i="14"/>
  <c r="C70" i="14"/>
  <c r="C71" i="14"/>
  <c r="C72" i="14"/>
  <c r="C73" i="14"/>
  <c r="C69" i="14"/>
  <c r="C54" i="14"/>
  <c r="C55" i="14"/>
  <c r="C56" i="14"/>
  <c r="C57" i="14"/>
  <c r="C58" i="14"/>
  <c r="C59" i="14"/>
  <c r="C60" i="14"/>
  <c r="C61" i="14"/>
  <c r="C62" i="14"/>
  <c r="C63" i="14"/>
  <c r="C64" i="14"/>
  <c r="C65" i="14"/>
  <c r="C66" i="14"/>
  <c r="C67" i="14"/>
  <c r="C53" i="14"/>
  <c r="W42" i="14"/>
  <c r="C37" i="14"/>
  <c r="C38" i="14"/>
  <c r="C39" i="14"/>
  <c r="C40" i="14"/>
  <c r="C41" i="14"/>
  <c r="C42" i="14"/>
  <c r="C43" i="14"/>
  <c r="C36" i="14"/>
  <c r="W34" i="14"/>
  <c r="C29" i="14"/>
  <c r="C30" i="14"/>
  <c r="C31" i="14"/>
  <c r="C32" i="14"/>
  <c r="C33" i="14"/>
  <c r="C34" i="14"/>
  <c r="C28" i="14"/>
  <c r="W33" i="14"/>
  <c r="W29" i="14"/>
  <c r="W25" i="14"/>
  <c r="W19" i="14"/>
  <c r="W20" i="14"/>
  <c r="W38" i="14"/>
  <c r="W55" i="14"/>
  <c r="W61" i="14"/>
  <c r="W64" i="14"/>
  <c r="W70" i="14"/>
  <c r="W79" i="14"/>
  <c r="W108" i="14"/>
  <c r="W123" i="14"/>
  <c r="W159" i="14"/>
  <c r="W164" i="14"/>
  <c r="W251" i="14"/>
  <c r="W267" i="14"/>
  <c r="W293" i="14"/>
  <c r="W316" i="14"/>
  <c r="W351" i="14"/>
  <c r="C19" i="14"/>
  <c r="C20" i="14"/>
  <c r="C21" i="14"/>
  <c r="V22" i="14"/>
  <c r="V26" i="14"/>
  <c r="W26" i="14" s="1"/>
  <c r="V27" i="14"/>
  <c r="V30" i="14"/>
  <c r="W30" i="14" s="1"/>
  <c r="V34" i="14"/>
  <c r="V35" i="14"/>
  <c r="V39" i="14"/>
  <c r="W39" i="14" s="1"/>
  <c r="V42" i="14"/>
  <c r="V43" i="14"/>
  <c r="V44" i="14"/>
  <c r="W44" i="14" s="1"/>
  <c r="V45" i="14"/>
  <c r="W45" i="14" s="1"/>
  <c r="V46" i="14"/>
  <c r="W46" i="14" s="1"/>
  <c r="V47" i="14"/>
  <c r="W47" i="14" s="1"/>
  <c r="V48" i="14"/>
  <c r="W48" i="14" s="1"/>
  <c r="V49" i="14"/>
  <c r="W49" i="14" s="1"/>
  <c r="V50" i="14"/>
  <c r="W50" i="14" s="1"/>
  <c r="V52" i="14"/>
  <c r="W52" i="14" s="1"/>
  <c r="V56" i="14"/>
  <c r="W56" i="14" s="1"/>
  <c r="V62" i="14"/>
  <c r="V63" i="14"/>
  <c r="W63" i="14" s="1"/>
  <c r="V65" i="14"/>
  <c r="W65" i="14" s="1"/>
  <c r="V67" i="14"/>
  <c r="V68" i="14"/>
  <c r="V69" i="14"/>
  <c r="V72" i="14"/>
  <c r="W72" i="14" s="1"/>
  <c r="V74" i="14"/>
  <c r="V75" i="14"/>
  <c r="V76" i="14"/>
  <c r="W76" i="14" s="1"/>
  <c r="V80" i="14"/>
  <c r="W80" i="14" s="1"/>
  <c r="V81" i="14"/>
  <c r="V82" i="14"/>
  <c r="V83" i="14"/>
  <c r="W83" i="14" s="1"/>
  <c r="V84" i="14"/>
  <c r="W84" i="14" s="1"/>
  <c r="V86" i="14"/>
  <c r="V90" i="14"/>
  <c r="W90" i="14" s="1"/>
  <c r="V92" i="14"/>
  <c r="V95" i="14"/>
  <c r="W95" i="14" s="1"/>
  <c r="V97" i="14"/>
  <c r="V98" i="14"/>
  <c r="V99" i="14"/>
  <c r="V100" i="14"/>
  <c r="W100" i="14" s="1"/>
  <c r="V101" i="14"/>
  <c r="W101" i="14" s="1"/>
  <c r="V102" i="14"/>
  <c r="V105" i="14"/>
  <c r="W105" i="14" s="1"/>
  <c r="V109" i="14"/>
  <c r="W109" i="14" s="1"/>
  <c r="V114" i="14"/>
  <c r="W114" i="14" s="1"/>
  <c r="V116" i="14"/>
  <c r="V117" i="14"/>
  <c r="V118" i="14"/>
  <c r="W118" i="14" s="1"/>
  <c r="V120" i="14"/>
  <c r="W120" i="14" s="1"/>
  <c r="V124" i="14"/>
  <c r="W124" i="14" s="1"/>
  <c r="V128" i="14"/>
  <c r="W128" i="14" s="1"/>
  <c r="V129" i="14"/>
  <c r="V132" i="14"/>
  <c r="W132" i="14" s="1"/>
  <c r="V134" i="14"/>
  <c r="V139" i="14"/>
  <c r="W139" i="14" s="1"/>
  <c r="V144" i="14"/>
  <c r="W144" i="14" s="1"/>
  <c r="V145" i="14"/>
  <c r="V146" i="14"/>
  <c r="V147" i="14"/>
  <c r="V148" i="14"/>
  <c r="W148" i="14" s="1"/>
  <c r="V154" i="14"/>
  <c r="W154" i="14" s="1"/>
  <c r="V156" i="14"/>
  <c r="V157" i="14"/>
  <c r="V160" i="14"/>
  <c r="W160" i="14" s="1"/>
  <c r="V165" i="14"/>
  <c r="V166" i="14"/>
  <c r="W166" i="14" s="1"/>
  <c r="V169" i="14"/>
  <c r="V174" i="14"/>
  <c r="W174" i="14" s="1"/>
  <c r="V179" i="14"/>
  <c r="W179" i="14" s="1"/>
  <c r="V180" i="14"/>
  <c r="V182" i="14"/>
  <c r="W182" i="14" s="1"/>
  <c r="V184" i="14"/>
  <c r="V190" i="14"/>
  <c r="V191" i="14"/>
  <c r="W191" i="14" s="1"/>
  <c r="V196" i="14"/>
  <c r="V199" i="14"/>
  <c r="W199" i="14" s="1"/>
  <c r="V201" i="14"/>
  <c r="W201" i="14" s="1"/>
  <c r="V202" i="14"/>
  <c r="V203" i="14"/>
  <c r="V204" i="14"/>
  <c r="W204" i="14" s="1"/>
  <c r="V205" i="14"/>
  <c r="W205" i="14" s="1"/>
  <c r="V206" i="14"/>
  <c r="V207" i="14"/>
  <c r="W207" i="14" s="1"/>
  <c r="V214" i="14"/>
  <c r="W214" i="14" s="1"/>
  <c r="V215" i="14"/>
  <c r="V216" i="14"/>
  <c r="V220" i="14"/>
  <c r="W220" i="14" s="1"/>
  <c r="V222" i="14"/>
  <c r="W222" i="14" s="1"/>
  <c r="V225" i="14"/>
  <c r="W225" i="14" s="1"/>
  <c r="V230" i="14"/>
  <c r="W230" i="14" s="1"/>
  <c r="V233" i="14"/>
  <c r="V237" i="14"/>
  <c r="V239" i="14"/>
  <c r="W239" i="14" s="1"/>
  <c r="V243" i="14"/>
  <c r="W243" i="14" s="1"/>
  <c r="V244" i="14"/>
  <c r="V246" i="14"/>
  <c r="V248" i="14"/>
  <c r="W248" i="14" s="1"/>
  <c r="V252" i="14"/>
  <c r="W252" i="14" s="1"/>
  <c r="V255" i="14"/>
  <c r="W255" i="14" s="1"/>
  <c r="V257" i="14"/>
  <c r="V261" i="14"/>
  <c r="W261" i="14" s="1"/>
  <c r="V263" i="14"/>
  <c r="V266" i="14"/>
  <c r="V270" i="14"/>
  <c r="V272" i="14"/>
  <c r="W272" i="14" s="1"/>
  <c r="V276" i="14"/>
  <c r="W276" i="14" s="1"/>
  <c r="V279" i="14"/>
  <c r="V285" i="14"/>
  <c r="W285" i="14" s="1"/>
  <c r="V287" i="14"/>
  <c r="V290" i="14"/>
  <c r="W290" i="14" s="1"/>
  <c r="V294" i="14"/>
  <c r="W294" i="14" s="1"/>
  <c r="V298" i="14"/>
  <c r="W298" i="14" s="1"/>
  <c r="V302" i="14"/>
  <c r="W302" i="14" s="1"/>
  <c r="V303" i="14"/>
  <c r="W303" i="14" s="1"/>
  <c r="V305" i="14"/>
  <c r="V309" i="14"/>
  <c r="W309" i="14" s="1"/>
  <c r="V311" i="14"/>
  <c r="W311" i="14" s="1"/>
  <c r="V317" i="14"/>
  <c r="W317" i="14" s="1"/>
  <c r="V319" i="14"/>
  <c r="V323" i="14"/>
  <c r="W323" i="14" s="1"/>
  <c r="V327" i="14"/>
  <c r="W327" i="14" s="1"/>
  <c r="V329" i="14"/>
  <c r="V330" i="14"/>
  <c r="W330" i="14" s="1"/>
  <c r="V331" i="14"/>
  <c r="V332" i="14"/>
  <c r="W332" i="14" s="1"/>
  <c r="V333" i="14"/>
  <c r="W333" i="14" s="1"/>
  <c r="V334" i="14"/>
  <c r="V335" i="14"/>
  <c r="W335" i="14" s="1"/>
  <c r="V339" i="14"/>
  <c r="W339" i="14" s="1"/>
  <c r="V341" i="14"/>
  <c r="V342" i="14"/>
  <c r="V343" i="14"/>
  <c r="V344" i="14"/>
  <c r="W344" i="14" s="1"/>
  <c r="V345" i="14"/>
  <c r="W345" i="14" s="1"/>
  <c r="V346" i="14"/>
  <c r="W346" i="14" s="1"/>
  <c r="V347" i="14"/>
  <c r="V352" i="14"/>
  <c r="W352" i="14" s="1"/>
  <c r="V353" i="14"/>
  <c r="V354" i="14"/>
  <c r="V355" i="14"/>
  <c r="V356" i="14"/>
  <c r="W356" i="14" s="1"/>
  <c r="V360" i="14"/>
  <c r="W360" i="14" s="1"/>
  <c r="V362" i="14"/>
  <c r="V363" i="14"/>
  <c r="W835" i="15" l="1"/>
  <c r="W857" i="15"/>
  <c r="C834" i="15"/>
  <c r="C835" i="15"/>
  <c r="C836" i="15"/>
  <c r="C837" i="15"/>
  <c r="C838" i="15"/>
  <c r="C839" i="15"/>
  <c r="C840" i="15"/>
  <c r="C841" i="15"/>
  <c r="C842" i="15"/>
  <c r="C843" i="15"/>
  <c r="C844" i="15"/>
  <c r="C845" i="15"/>
  <c r="C846" i="15"/>
  <c r="C847" i="15"/>
  <c r="C848" i="15"/>
  <c r="C849" i="15"/>
  <c r="C850" i="15"/>
  <c r="C851" i="15"/>
  <c r="C852" i="15"/>
  <c r="C853" i="15"/>
  <c r="C854" i="15"/>
  <c r="C855" i="15"/>
  <c r="C856" i="15"/>
  <c r="C857" i="15"/>
  <c r="C858" i="15"/>
  <c r="C859" i="15"/>
  <c r="C860" i="15"/>
  <c r="C861" i="15"/>
  <c r="C833" i="15"/>
  <c r="W822" i="15"/>
  <c r="C813" i="15"/>
  <c r="C814" i="15"/>
  <c r="C815" i="15"/>
  <c r="C816" i="15"/>
  <c r="C817" i="15"/>
  <c r="C818" i="15"/>
  <c r="C819" i="15"/>
  <c r="C820" i="15"/>
  <c r="C821" i="15"/>
  <c r="C822" i="15"/>
  <c r="C823" i="15"/>
  <c r="C824" i="15"/>
  <c r="C825" i="15"/>
  <c r="C826" i="15"/>
  <c r="C827" i="15"/>
  <c r="C828" i="15"/>
  <c r="C829" i="15"/>
  <c r="C830" i="15"/>
  <c r="C831" i="15"/>
  <c r="C812" i="15"/>
  <c r="W805" i="15"/>
  <c r="W796" i="15"/>
  <c r="W800" i="15"/>
  <c r="C795" i="15"/>
  <c r="C796" i="15"/>
  <c r="C797" i="15"/>
  <c r="C798" i="15"/>
  <c r="C799" i="15"/>
  <c r="C800" i="15"/>
  <c r="C801" i="15"/>
  <c r="C802" i="15"/>
  <c r="C803" i="15"/>
  <c r="C804" i="15"/>
  <c r="C805" i="15"/>
  <c r="C806" i="15"/>
  <c r="C807" i="15"/>
  <c r="C808" i="15"/>
  <c r="C809" i="15"/>
  <c r="C810" i="15"/>
  <c r="C794" i="15"/>
  <c r="W787" i="15"/>
  <c r="W792" i="15"/>
  <c r="C777" i="15"/>
  <c r="C778" i="15"/>
  <c r="C779" i="15"/>
  <c r="C780" i="15"/>
  <c r="C781" i="15"/>
  <c r="C782" i="15"/>
  <c r="C783" i="15"/>
  <c r="C784" i="15"/>
  <c r="C785" i="15"/>
  <c r="C786" i="15"/>
  <c r="C787" i="15"/>
  <c r="C788" i="15"/>
  <c r="C789" i="15"/>
  <c r="C790" i="15"/>
  <c r="C791" i="15"/>
  <c r="C792" i="15"/>
  <c r="C776" i="15"/>
  <c r="W766" i="15"/>
  <c r="W769" i="15"/>
  <c r="W773" i="15"/>
  <c r="C758" i="15"/>
  <c r="C759" i="15"/>
  <c r="C760" i="15"/>
  <c r="C761" i="15"/>
  <c r="C762" i="15"/>
  <c r="C763" i="15"/>
  <c r="C764" i="15"/>
  <c r="C765" i="15"/>
  <c r="C766" i="15"/>
  <c r="C767" i="15"/>
  <c r="C768" i="15"/>
  <c r="C769" i="15"/>
  <c r="C770" i="15"/>
  <c r="C771" i="15"/>
  <c r="C772" i="15"/>
  <c r="C773" i="15"/>
  <c r="C774" i="15"/>
  <c r="C757" i="15"/>
  <c r="C738" i="15"/>
  <c r="C739" i="15"/>
  <c r="C740" i="15"/>
  <c r="C741" i="15"/>
  <c r="C742" i="15"/>
  <c r="C743" i="15"/>
  <c r="C744" i="15"/>
  <c r="C745" i="15"/>
  <c r="C746" i="15"/>
  <c r="C747" i="15"/>
  <c r="C748" i="15"/>
  <c r="C749" i="15"/>
  <c r="C750" i="15"/>
  <c r="C751" i="15"/>
  <c r="C752" i="15"/>
  <c r="C753" i="15"/>
  <c r="C754" i="15"/>
  <c r="C755" i="15"/>
  <c r="C737" i="15"/>
  <c r="W729" i="15"/>
  <c r="W720" i="15"/>
  <c r="W721" i="15"/>
  <c r="C715" i="15"/>
  <c r="C716" i="15"/>
  <c r="C717" i="15"/>
  <c r="C718" i="15"/>
  <c r="C719" i="15"/>
  <c r="C720" i="15"/>
  <c r="C721" i="15"/>
  <c r="C722" i="15"/>
  <c r="C723" i="15"/>
  <c r="C724" i="15"/>
  <c r="C725" i="15"/>
  <c r="C726" i="15"/>
  <c r="C727" i="15"/>
  <c r="C728" i="15"/>
  <c r="C729" i="15"/>
  <c r="C730" i="15"/>
  <c r="C731" i="15"/>
  <c r="C732" i="15"/>
  <c r="C733" i="15"/>
  <c r="C734" i="15"/>
  <c r="C735" i="15"/>
  <c r="C714" i="15"/>
  <c r="W718" i="15"/>
  <c r="W784" i="15"/>
  <c r="W839" i="15"/>
  <c r="V711" i="15"/>
  <c r="V712" i="15"/>
  <c r="V713" i="15"/>
  <c r="V714" i="15"/>
  <c r="W714" i="15" s="1"/>
  <c r="V715" i="15"/>
  <c r="W715" i="15" s="1"/>
  <c r="V716" i="15"/>
  <c r="W716" i="15" s="1"/>
  <c r="V717" i="15"/>
  <c r="W717" i="15" s="1"/>
  <c r="V719" i="15"/>
  <c r="W719" i="15" s="1"/>
  <c r="V720" i="15"/>
  <c r="V722" i="15"/>
  <c r="W722" i="15" s="1"/>
  <c r="V723" i="15"/>
  <c r="W723" i="15" s="1"/>
  <c r="V724" i="15"/>
  <c r="W724" i="15" s="1"/>
  <c r="V725" i="15"/>
  <c r="W725" i="15" s="1"/>
  <c r="V726" i="15"/>
  <c r="W726" i="15" s="1"/>
  <c r="V727" i="15"/>
  <c r="W727" i="15" s="1"/>
  <c r="V728" i="15"/>
  <c r="W728" i="15" s="1"/>
  <c r="V730" i="15"/>
  <c r="W730" i="15" s="1"/>
  <c r="V731" i="15"/>
  <c r="W731" i="15" s="1"/>
  <c r="V732" i="15"/>
  <c r="W732" i="15" s="1"/>
  <c r="V733" i="15"/>
  <c r="V735" i="15"/>
  <c r="V736" i="15"/>
  <c r="V737" i="15"/>
  <c r="W737" i="15" s="1"/>
  <c r="V739" i="15"/>
  <c r="W739" i="15" s="1"/>
  <c r="V741" i="15"/>
  <c r="W741" i="15" s="1"/>
  <c r="V742" i="15"/>
  <c r="W742" i="15" s="1"/>
  <c r="V743" i="15"/>
  <c r="W743" i="15" s="1"/>
  <c r="V744" i="15"/>
  <c r="W744" i="15" s="1"/>
  <c r="V745" i="15"/>
  <c r="W745" i="15" s="1"/>
  <c r="V747" i="15"/>
  <c r="W747" i="15" s="1"/>
  <c r="V749" i="15"/>
  <c r="W749" i="15" s="1"/>
  <c r="V750" i="15"/>
  <c r="W750" i="15" s="1"/>
  <c r="V751" i="15"/>
  <c r="W751" i="15" s="1"/>
  <c r="V752" i="15"/>
  <c r="W752" i="15" s="1"/>
  <c r="V753" i="15"/>
  <c r="W753" i="15" s="1"/>
  <c r="V755" i="15"/>
  <c r="W755" i="15" s="1"/>
  <c r="V756" i="15"/>
  <c r="V757" i="15"/>
  <c r="W757" i="15" s="1"/>
  <c r="V759" i="15"/>
  <c r="W759" i="15" s="1"/>
  <c r="V761" i="15"/>
  <c r="W761" i="15" s="1"/>
  <c r="V762" i="15"/>
  <c r="W762" i="15" s="1"/>
  <c r="V763" i="15"/>
  <c r="W763" i="15" s="1"/>
  <c r="V764" i="15"/>
  <c r="W764" i="15" s="1"/>
  <c r="V765" i="15"/>
  <c r="W765" i="15" s="1"/>
  <c r="V766" i="15"/>
  <c r="V768" i="15"/>
  <c r="W768" i="15" s="1"/>
  <c r="V769" i="15"/>
  <c r="V771" i="15"/>
  <c r="W771" i="15" s="1"/>
  <c r="V772" i="15"/>
  <c r="W772" i="15" s="1"/>
  <c r="V773" i="15"/>
  <c r="V774" i="15"/>
  <c r="W774" i="15" s="1"/>
  <c r="V775" i="15"/>
  <c r="V776" i="15"/>
  <c r="W776" i="15" s="1"/>
  <c r="V777" i="15"/>
  <c r="V778" i="15"/>
  <c r="W778" i="15" s="1"/>
  <c r="V779" i="15"/>
  <c r="W779" i="15" s="1"/>
  <c r="V780" i="15"/>
  <c r="V782" i="15"/>
  <c r="W782" i="15" s="1"/>
  <c r="V783" i="15"/>
  <c r="W783" i="15" s="1"/>
  <c r="V784" i="15"/>
  <c r="V786" i="15"/>
  <c r="W786" i="15" s="1"/>
  <c r="V787" i="15"/>
  <c r="V788" i="15"/>
  <c r="W788" i="15" s="1"/>
  <c r="V790" i="15"/>
  <c r="W790" i="15" s="1"/>
  <c r="V791" i="15"/>
  <c r="W791" i="15" s="1"/>
  <c r="V792" i="15"/>
  <c r="V793" i="15"/>
  <c r="V794" i="15"/>
  <c r="W794" i="15" s="1"/>
  <c r="V795" i="15"/>
  <c r="W795" i="15" s="1"/>
  <c r="V796" i="15"/>
  <c r="V797" i="15"/>
  <c r="W797" i="15" s="1"/>
  <c r="V799" i="15"/>
  <c r="W799" i="15" s="1"/>
  <c r="V800" i="15"/>
  <c r="V802" i="15"/>
  <c r="W802" i="15" s="1"/>
  <c r="V804" i="15"/>
  <c r="W804" i="15" s="1"/>
  <c r="V805" i="15"/>
  <c r="V807" i="15"/>
  <c r="W807" i="15" s="1"/>
  <c r="V809" i="15"/>
  <c r="W809" i="15" s="1"/>
  <c r="V810" i="15"/>
  <c r="W810" i="15" s="1"/>
  <c r="V811" i="15"/>
  <c r="V812" i="15"/>
  <c r="W812" i="15" s="1"/>
  <c r="V813" i="15"/>
  <c r="W813" i="15" s="1"/>
  <c r="V815" i="15"/>
  <c r="W815" i="15" s="1"/>
  <c r="V816" i="15"/>
  <c r="W816" i="15" s="1"/>
  <c r="V817" i="15"/>
  <c r="W817" i="15" s="1"/>
  <c r="V819" i="15"/>
  <c r="W819" i="15" s="1"/>
  <c r="V820" i="15"/>
  <c r="W820" i="15" s="1"/>
  <c r="V821" i="15"/>
  <c r="W821" i="15" s="1"/>
  <c r="V822" i="15"/>
  <c r="V824" i="15"/>
  <c r="W824" i="15" s="1"/>
  <c r="V825" i="15"/>
  <c r="W825" i="15" s="1"/>
  <c r="V826" i="15"/>
  <c r="W826" i="15" s="1"/>
  <c r="V828" i="15"/>
  <c r="W828" i="15" s="1"/>
  <c r="V829" i="15"/>
  <c r="W829" i="15" s="1"/>
  <c r="V830" i="15"/>
  <c r="W830" i="15" s="1"/>
  <c r="V831" i="15"/>
  <c r="W831" i="15" s="1"/>
  <c r="V832" i="15"/>
  <c r="V833" i="15"/>
  <c r="W833" i="15" s="1"/>
  <c r="V834" i="15"/>
  <c r="W834" i="15" s="1"/>
  <c r="V835" i="15"/>
  <c r="V837" i="15"/>
  <c r="V838" i="15"/>
  <c r="W838" i="15" s="1"/>
  <c r="V840" i="15"/>
  <c r="W840" i="15" s="1"/>
  <c r="V841" i="15"/>
  <c r="W841" i="15" s="1"/>
  <c r="V842" i="15"/>
  <c r="W842" i="15" s="1"/>
  <c r="V844" i="15"/>
  <c r="W844" i="15" s="1"/>
  <c r="V846" i="15"/>
  <c r="W846" i="15" s="1"/>
  <c r="V847" i="15"/>
  <c r="W847" i="15" s="1"/>
  <c r="V849" i="15"/>
  <c r="W849" i="15" s="1"/>
  <c r="V850" i="15"/>
  <c r="W850" i="15" s="1"/>
  <c r="V851" i="15"/>
  <c r="W851" i="15" s="1"/>
  <c r="V853" i="15"/>
  <c r="W853" i="15" s="1"/>
  <c r="V854" i="15"/>
  <c r="W854" i="15" s="1"/>
  <c r="V856" i="15"/>
  <c r="W856" i="15" s="1"/>
  <c r="V857" i="15"/>
  <c r="V859" i="15"/>
  <c r="V860" i="15"/>
  <c r="W860" i="15" s="1"/>
  <c r="V861" i="15"/>
  <c r="W861" i="15" s="1"/>
  <c r="W709" i="15"/>
  <c r="W699" i="15"/>
  <c r="C696" i="15"/>
  <c r="C697" i="15"/>
  <c r="C698" i="15"/>
  <c r="C699" i="15"/>
  <c r="C700" i="15"/>
  <c r="C701" i="15"/>
  <c r="C702" i="15"/>
  <c r="C703" i="15"/>
  <c r="C704" i="15"/>
  <c r="C705" i="15"/>
  <c r="C706" i="15"/>
  <c r="C707" i="15"/>
  <c r="C708" i="15"/>
  <c r="C709" i="15"/>
  <c r="C710" i="15"/>
  <c r="C695" i="15"/>
  <c r="W687" i="15"/>
  <c r="C683" i="15"/>
  <c r="C684" i="15"/>
  <c r="C685" i="15"/>
  <c r="C686" i="15"/>
  <c r="C687" i="15"/>
  <c r="C688" i="15"/>
  <c r="C689" i="15"/>
  <c r="C690" i="15"/>
  <c r="C691" i="15"/>
  <c r="C692" i="15"/>
  <c r="C693" i="15"/>
  <c r="C682" i="15"/>
  <c r="W670" i="15"/>
  <c r="C656" i="15"/>
  <c r="C657" i="15"/>
  <c r="C658" i="15"/>
  <c r="C659" i="15"/>
  <c r="C660" i="15"/>
  <c r="C661" i="15"/>
  <c r="C662" i="15"/>
  <c r="C663" i="15"/>
  <c r="C664" i="15"/>
  <c r="C665" i="15"/>
  <c r="C666" i="15"/>
  <c r="C667" i="15"/>
  <c r="C668" i="15"/>
  <c r="C669" i="15"/>
  <c r="C670" i="15"/>
  <c r="C671" i="15"/>
  <c r="C672" i="15"/>
  <c r="C655" i="15"/>
  <c r="C633" i="15"/>
  <c r="C634" i="15"/>
  <c r="C635" i="15"/>
  <c r="C636" i="15"/>
  <c r="C637" i="15"/>
  <c r="C638" i="15"/>
  <c r="C639" i="15"/>
  <c r="C640" i="15"/>
  <c r="C641" i="15"/>
  <c r="C642" i="15"/>
  <c r="C643" i="15"/>
  <c r="C644" i="15"/>
  <c r="C645" i="15"/>
  <c r="C646" i="15"/>
  <c r="C647" i="15"/>
  <c r="C648" i="15"/>
  <c r="C649" i="15"/>
  <c r="C650" i="15"/>
  <c r="C651" i="15"/>
  <c r="C652" i="15"/>
  <c r="C653" i="15"/>
  <c r="C632" i="15"/>
  <c r="W623" i="15"/>
  <c r="C607" i="15"/>
  <c r="C608" i="15"/>
  <c r="C609" i="15"/>
  <c r="C610" i="15"/>
  <c r="C611" i="15"/>
  <c r="C612" i="15"/>
  <c r="C613" i="15"/>
  <c r="C614" i="15"/>
  <c r="C615" i="15"/>
  <c r="C616" i="15"/>
  <c r="C617" i="15"/>
  <c r="C618" i="15"/>
  <c r="C619" i="15"/>
  <c r="C620" i="15"/>
  <c r="C621" i="15"/>
  <c r="C622" i="15"/>
  <c r="C623" i="15"/>
  <c r="C624" i="15"/>
  <c r="C625" i="15"/>
  <c r="C626" i="15"/>
  <c r="C627" i="15"/>
  <c r="C628" i="15"/>
  <c r="C629" i="15"/>
  <c r="C630" i="15"/>
  <c r="C606" i="15"/>
  <c r="W594" i="15"/>
  <c r="W592" i="15"/>
  <c r="W599" i="15"/>
  <c r="W595" i="15"/>
  <c r="W593" i="15"/>
  <c r="W590" i="15"/>
  <c r="W589" i="15"/>
  <c r="C589" i="15"/>
  <c r="C590" i="15"/>
  <c r="C591" i="15"/>
  <c r="C592" i="15"/>
  <c r="C593" i="15"/>
  <c r="C594" i="15"/>
  <c r="C595" i="15"/>
  <c r="C596" i="15"/>
  <c r="C597" i="15"/>
  <c r="C598" i="15"/>
  <c r="C599" i="15"/>
  <c r="C600" i="15"/>
  <c r="C601" i="15"/>
  <c r="C602" i="15"/>
  <c r="C603" i="15"/>
  <c r="C604" i="15"/>
  <c r="C588" i="15"/>
  <c r="W575" i="15"/>
  <c r="W578" i="15"/>
  <c r="W572" i="15"/>
  <c r="W573" i="15"/>
  <c r="W576" i="15"/>
  <c r="W579" i="15"/>
  <c r="W581" i="15"/>
  <c r="W569" i="15"/>
  <c r="W564" i="15"/>
  <c r="C563" i="15"/>
  <c r="C564" i="15"/>
  <c r="C565" i="15"/>
  <c r="C566" i="15"/>
  <c r="C567" i="15"/>
  <c r="C568" i="15"/>
  <c r="C569" i="15"/>
  <c r="C570" i="15"/>
  <c r="C571" i="15"/>
  <c r="C572" i="15"/>
  <c r="C573" i="15"/>
  <c r="C574" i="15"/>
  <c r="C575" i="15"/>
  <c r="C576" i="15"/>
  <c r="C577" i="15"/>
  <c r="C578" i="15"/>
  <c r="C579" i="15"/>
  <c r="C580" i="15"/>
  <c r="C581" i="15"/>
  <c r="C582" i="15"/>
  <c r="C583" i="15"/>
  <c r="C584" i="15"/>
  <c r="C585" i="15"/>
  <c r="C586" i="15"/>
  <c r="C562" i="15"/>
  <c r="W544" i="15"/>
  <c r="W543" i="15"/>
  <c r="W541" i="15"/>
  <c r="C540" i="15"/>
  <c r="C541" i="15"/>
  <c r="C542" i="15"/>
  <c r="C543" i="15"/>
  <c r="C544" i="15"/>
  <c r="C545" i="15"/>
  <c r="C546" i="15"/>
  <c r="C547" i="15"/>
  <c r="C548" i="15"/>
  <c r="C549" i="15"/>
  <c r="C550" i="15"/>
  <c r="C551" i="15"/>
  <c r="C552" i="15"/>
  <c r="C553" i="15"/>
  <c r="C554" i="15"/>
  <c r="C555" i="15"/>
  <c r="C556" i="15"/>
  <c r="C557" i="15"/>
  <c r="C558" i="15"/>
  <c r="C559" i="15"/>
  <c r="C560" i="15"/>
  <c r="C539" i="15"/>
  <c r="W525" i="15"/>
  <c r="W524" i="15"/>
  <c r="W522" i="15"/>
  <c r="W534" i="15"/>
  <c r="W528" i="15"/>
  <c r="W535" i="15"/>
  <c r="W529" i="15"/>
  <c r="W526" i="15"/>
  <c r="W523" i="15"/>
  <c r="W517" i="15"/>
  <c r="C513" i="15"/>
  <c r="C514" i="15"/>
  <c r="C515" i="15"/>
  <c r="C516" i="15"/>
  <c r="C517" i="15"/>
  <c r="C518" i="15"/>
  <c r="C519" i="15"/>
  <c r="C520" i="15"/>
  <c r="C521" i="15"/>
  <c r="C522" i="15"/>
  <c r="C523" i="15"/>
  <c r="C524" i="15"/>
  <c r="C525" i="15"/>
  <c r="C526" i="15"/>
  <c r="C527" i="15"/>
  <c r="C528" i="15"/>
  <c r="C529" i="15"/>
  <c r="C530" i="15"/>
  <c r="C531" i="15"/>
  <c r="C532" i="15"/>
  <c r="C533" i="15"/>
  <c r="C534" i="15"/>
  <c r="C535" i="15"/>
  <c r="C536" i="15"/>
  <c r="C537" i="15"/>
  <c r="C512" i="15"/>
  <c r="W492" i="15"/>
  <c r="W489" i="15"/>
  <c r="C489" i="15"/>
  <c r="C490" i="15"/>
  <c r="C491" i="15"/>
  <c r="C492" i="15"/>
  <c r="C493" i="15"/>
  <c r="C494" i="15"/>
  <c r="C495" i="15"/>
  <c r="C496" i="15"/>
  <c r="C497" i="15"/>
  <c r="C498" i="15"/>
  <c r="C499" i="15"/>
  <c r="C500" i="15"/>
  <c r="C501" i="15"/>
  <c r="C502" i="15"/>
  <c r="C503" i="15"/>
  <c r="C504" i="15"/>
  <c r="C505" i="15"/>
  <c r="C506" i="15"/>
  <c r="C507" i="15"/>
  <c r="C508" i="15"/>
  <c r="C509" i="15"/>
  <c r="C510" i="15"/>
  <c r="C488" i="15"/>
  <c r="W479" i="15"/>
  <c r="W482" i="15"/>
  <c r="W472" i="15"/>
  <c r="C472" i="15"/>
  <c r="C473" i="15"/>
  <c r="C474" i="15"/>
  <c r="C475" i="15"/>
  <c r="C476" i="15"/>
  <c r="C477" i="15"/>
  <c r="C478" i="15"/>
  <c r="C479" i="15"/>
  <c r="C480" i="15"/>
  <c r="C481" i="15"/>
  <c r="C482" i="15"/>
  <c r="C483" i="15"/>
  <c r="C484" i="15"/>
  <c r="C485" i="15"/>
  <c r="C486" i="15"/>
  <c r="C471" i="15"/>
  <c r="W460" i="15"/>
  <c r="W458" i="15"/>
  <c r="W454" i="15"/>
  <c r="C450" i="15"/>
  <c r="C451" i="15"/>
  <c r="C452" i="15"/>
  <c r="C453" i="15"/>
  <c r="C454" i="15"/>
  <c r="C455" i="15"/>
  <c r="C456" i="15"/>
  <c r="C457" i="15"/>
  <c r="C458" i="15"/>
  <c r="C459" i="15"/>
  <c r="C460" i="15"/>
  <c r="C449" i="15"/>
  <c r="W444" i="15"/>
  <c r="W440" i="15"/>
  <c r="W430" i="15"/>
  <c r="C425" i="15"/>
  <c r="C426" i="15"/>
  <c r="C427" i="15"/>
  <c r="C428" i="15"/>
  <c r="C429" i="15"/>
  <c r="C430" i="15"/>
  <c r="C431" i="15"/>
  <c r="C432" i="15"/>
  <c r="C433" i="15"/>
  <c r="C434" i="15"/>
  <c r="C435" i="15"/>
  <c r="C436" i="15"/>
  <c r="C437" i="15"/>
  <c r="C438" i="15"/>
  <c r="C439" i="15"/>
  <c r="C440" i="15"/>
  <c r="C441" i="15"/>
  <c r="C442" i="15"/>
  <c r="C443" i="15"/>
  <c r="C444" i="15"/>
  <c r="C445" i="15"/>
  <c r="C446" i="15"/>
  <c r="C447" i="15"/>
  <c r="C424" i="15"/>
  <c r="C399" i="15"/>
  <c r="C400" i="15"/>
  <c r="C401" i="15"/>
  <c r="C402" i="15"/>
  <c r="C403" i="15"/>
  <c r="C404" i="15"/>
  <c r="C405" i="15"/>
  <c r="C406" i="15"/>
  <c r="C407" i="15"/>
  <c r="C408" i="15"/>
  <c r="C409" i="15"/>
  <c r="C410" i="15"/>
  <c r="C411" i="15"/>
  <c r="C412" i="15"/>
  <c r="C413" i="15"/>
  <c r="C414" i="15"/>
  <c r="C415" i="15"/>
  <c r="C416" i="15"/>
  <c r="C417" i="15"/>
  <c r="C418" i="15"/>
  <c r="C419" i="15"/>
  <c r="C420" i="15"/>
  <c r="C421" i="15"/>
  <c r="C422" i="15"/>
  <c r="C398" i="15"/>
  <c r="W379" i="15"/>
  <c r="W385" i="15"/>
  <c r="W393" i="15"/>
  <c r="C379" i="15"/>
  <c r="C380" i="15"/>
  <c r="C381" i="15"/>
  <c r="C382" i="15"/>
  <c r="C383" i="15"/>
  <c r="C384" i="15"/>
  <c r="C385" i="15"/>
  <c r="C386" i="15"/>
  <c r="C387" i="15"/>
  <c r="C388" i="15"/>
  <c r="C389" i="15"/>
  <c r="C390" i="15"/>
  <c r="C391" i="15"/>
  <c r="C392" i="15"/>
  <c r="C393" i="15"/>
  <c r="C394" i="15"/>
  <c r="C395" i="15"/>
  <c r="C396" i="15"/>
  <c r="C378" i="15"/>
  <c r="C354" i="15"/>
  <c r="C355" i="15"/>
  <c r="C356" i="15"/>
  <c r="C357" i="15"/>
  <c r="C358" i="15"/>
  <c r="C359" i="15"/>
  <c r="C360" i="15"/>
  <c r="C361" i="15"/>
  <c r="C362" i="15"/>
  <c r="C363" i="15"/>
  <c r="C364" i="15"/>
  <c r="C365" i="15"/>
  <c r="C366" i="15"/>
  <c r="C367" i="15"/>
  <c r="C368" i="15"/>
  <c r="C369" i="15"/>
  <c r="C370" i="15"/>
  <c r="C371" i="15"/>
  <c r="C372" i="15"/>
  <c r="C373" i="15"/>
  <c r="C374" i="15"/>
  <c r="C375" i="15"/>
  <c r="C376" i="15"/>
  <c r="C353" i="15"/>
  <c r="W337" i="15"/>
  <c r="W347" i="15"/>
  <c r="W336" i="15"/>
  <c r="W329" i="15"/>
  <c r="C327" i="15"/>
  <c r="C328" i="15"/>
  <c r="C329" i="15"/>
  <c r="C330" i="15"/>
  <c r="C331" i="15"/>
  <c r="C332" i="15"/>
  <c r="C333" i="15"/>
  <c r="C334" i="15"/>
  <c r="C335" i="15"/>
  <c r="C336" i="15"/>
  <c r="C337" i="15"/>
  <c r="C338" i="15"/>
  <c r="C339" i="15"/>
  <c r="C340" i="15"/>
  <c r="C341" i="15"/>
  <c r="C342" i="15"/>
  <c r="C343" i="15"/>
  <c r="C344" i="15"/>
  <c r="C345" i="15"/>
  <c r="C346" i="15"/>
  <c r="C347" i="15"/>
  <c r="C348" i="15"/>
  <c r="C349" i="15"/>
  <c r="C350" i="15"/>
  <c r="C351" i="15"/>
  <c r="C326" i="15"/>
  <c r="W321" i="15"/>
  <c r="W324" i="15"/>
  <c r="W318" i="15"/>
  <c r="W312" i="15"/>
  <c r="C313" i="15"/>
  <c r="C314" i="15"/>
  <c r="C315" i="15"/>
  <c r="C316" i="15"/>
  <c r="C317" i="15"/>
  <c r="C318" i="15"/>
  <c r="C319" i="15"/>
  <c r="C320" i="15"/>
  <c r="C321" i="15"/>
  <c r="C322" i="15"/>
  <c r="C323" i="15"/>
  <c r="C324" i="15"/>
  <c r="C312" i="15"/>
  <c r="W309" i="15"/>
  <c r="C295" i="15"/>
  <c r="C296" i="15"/>
  <c r="C297" i="15"/>
  <c r="C298" i="15"/>
  <c r="C299" i="15"/>
  <c r="C300" i="15"/>
  <c r="C301" i="15"/>
  <c r="C302" i="15"/>
  <c r="C303" i="15"/>
  <c r="C304" i="15"/>
  <c r="C305" i="15"/>
  <c r="C306" i="15"/>
  <c r="C307" i="15"/>
  <c r="C308" i="15"/>
  <c r="C309" i="15"/>
  <c r="C310" i="15"/>
  <c r="C294" i="15"/>
  <c r="W287" i="15"/>
  <c r="W284" i="15"/>
  <c r="C284" i="15"/>
  <c r="C285" i="15"/>
  <c r="C286" i="15"/>
  <c r="C287" i="15"/>
  <c r="C283" i="15"/>
  <c r="W271" i="15"/>
  <c r="W274" i="15"/>
  <c r="W268" i="15"/>
  <c r="W261" i="15"/>
  <c r="C261" i="15"/>
  <c r="C262" i="15"/>
  <c r="C263" i="15"/>
  <c r="C264" i="15"/>
  <c r="C265" i="15"/>
  <c r="C266" i="15"/>
  <c r="C267" i="15"/>
  <c r="C268" i="15"/>
  <c r="C269" i="15"/>
  <c r="C270" i="15"/>
  <c r="C271" i="15"/>
  <c r="C272" i="15"/>
  <c r="C273" i="15"/>
  <c r="C274" i="15"/>
  <c r="C275" i="15"/>
  <c r="C276" i="15"/>
  <c r="C277" i="15"/>
  <c r="C278" i="15"/>
  <c r="C279" i="15"/>
  <c r="C280" i="15"/>
  <c r="C281" i="15"/>
  <c r="C260" i="15"/>
  <c r="W248" i="15"/>
  <c r="W245" i="15"/>
  <c r="C238" i="15"/>
  <c r="C239" i="15"/>
  <c r="C240" i="15"/>
  <c r="C241" i="15"/>
  <c r="C242" i="15"/>
  <c r="C243" i="15"/>
  <c r="C244" i="15"/>
  <c r="C245" i="15"/>
  <c r="C246" i="15"/>
  <c r="C247" i="15"/>
  <c r="C248" i="15"/>
  <c r="C249" i="15"/>
  <c r="C250" i="15"/>
  <c r="C251" i="15"/>
  <c r="C252" i="15"/>
  <c r="C253" i="15"/>
  <c r="C254" i="15"/>
  <c r="C255" i="15"/>
  <c r="C256" i="15"/>
  <c r="C257" i="15"/>
  <c r="C258" i="15"/>
  <c r="C237" i="15"/>
  <c r="W218" i="15"/>
  <c r="W230" i="15"/>
  <c r="W223" i="15"/>
  <c r="W221" i="15"/>
  <c r="W219" i="15"/>
  <c r="W216" i="15"/>
  <c r="W213" i="15"/>
  <c r="W215" i="15"/>
  <c r="W211" i="15"/>
  <c r="C211" i="15"/>
  <c r="C212" i="15"/>
  <c r="C213" i="15"/>
  <c r="C214" i="15"/>
  <c r="C215" i="15"/>
  <c r="C216" i="15"/>
  <c r="C217" i="15"/>
  <c r="C218" i="15"/>
  <c r="C219" i="15"/>
  <c r="C220" i="15"/>
  <c r="C221" i="15"/>
  <c r="C222" i="15"/>
  <c r="C223" i="15"/>
  <c r="C224" i="15"/>
  <c r="C225" i="15"/>
  <c r="C226" i="15"/>
  <c r="C227" i="15"/>
  <c r="C228" i="15"/>
  <c r="C229" i="15"/>
  <c r="C230" i="15"/>
  <c r="C231" i="15"/>
  <c r="C232" i="15"/>
  <c r="C233" i="15"/>
  <c r="C234" i="15"/>
  <c r="C235" i="15"/>
  <c r="C210" i="15"/>
  <c r="W196" i="15"/>
  <c r="W200" i="15"/>
  <c r="W197" i="15"/>
  <c r="W191" i="15"/>
  <c r="C189" i="15"/>
  <c r="C190" i="15"/>
  <c r="C191" i="15"/>
  <c r="C192" i="15"/>
  <c r="C193" i="15"/>
  <c r="C194" i="15"/>
  <c r="C195" i="15"/>
  <c r="C196" i="15"/>
  <c r="C197" i="15"/>
  <c r="C198" i="15"/>
  <c r="C199" i="15"/>
  <c r="C200" i="15"/>
  <c r="C201" i="15"/>
  <c r="C202" i="15"/>
  <c r="C203" i="15"/>
  <c r="C204" i="15"/>
  <c r="C205" i="15"/>
  <c r="C206" i="15"/>
  <c r="C207" i="15"/>
  <c r="C208" i="15"/>
  <c r="C188" i="15"/>
  <c r="W184" i="15"/>
  <c r="W181" i="15"/>
  <c r="W177" i="15"/>
  <c r="W183" i="15"/>
  <c r="W180" i="15"/>
  <c r="W178" i="15"/>
  <c r="W170" i="15"/>
  <c r="C170" i="15"/>
  <c r="C171" i="15"/>
  <c r="C172" i="15"/>
  <c r="C173" i="15"/>
  <c r="C174" i="15"/>
  <c r="C175" i="15"/>
  <c r="C176" i="15"/>
  <c r="C177" i="15"/>
  <c r="C178" i="15"/>
  <c r="C179" i="15"/>
  <c r="C180" i="15"/>
  <c r="C181" i="15"/>
  <c r="C182" i="15"/>
  <c r="C183" i="15"/>
  <c r="C184" i="15"/>
  <c r="C185" i="15"/>
  <c r="C186" i="15"/>
  <c r="C169" i="15"/>
  <c r="W163" i="15" l="1"/>
  <c r="W162" i="15"/>
  <c r="W167" i="15"/>
  <c r="C156" i="15" l="1"/>
  <c r="C157" i="15"/>
  <c r="C158" i="15"/>
  <c r="C159" i="15"/>
  <c r="C160" i="15"/>
  <c r="C161" i="15"/>
  <c r="C162" i="15"/>
  <c r="C163" i="15"/>
  <c r="C164" i="15"/>
  <c r="C165" i="15"/>
  <c r="C166" i="15"/>
  <c r="C167" i="15"/>
  <c r="C155" i="15"/>
  <c r="W138" i="15"/>
  <c r="W141" i="15"/>
  <c r="C138" i="15"/>
  <c r="C139" i="15"/>
  <c r="C140" i="15"/>
  <c r="C141" i="15"/>
  <c r="C142" i="15"/>
  <c r="C143" i="15"/>
  <c r="C144" i="15"/>
  <c r="C145" i="15"/>
  <c r="C146" i="15"/>
  <c r="C147" i="15"/>
  <c r="C148" i="15"/>
  <c r="C149" i="15"/>
  <c r="C150" i="15"/>
  <c r="C151" i="15"/>
  <c r="C152" i="15"/>
  <c r="C153" i="15"/>
  <c r="C137" i="15"/>
  <c r="W128" i="15"/>
  <c r="W113" i="15"/>
  <c r="C113" i="15"/>
  <c r="C114" i="15"/>
  <c r="C115" i="15"/>
  <c r="C116" i="15"/>
  <c r="C117" i="15"/>
  <c r="C118" i="15"/>
  <c r="C119" i="15"/>
  <c r="C120" i="15"/>
  <c r="C121" i="15"/>
  <c r="C122" i="15"/>
  <c r="C123" i="15"/>
  <c r="C124" i="15"/>
  <c r="C125" i="15"/>
  <c r="C126" i="15"/>
  <c r="C127" i="15"/>
  <c r="C128" i="15"/>
  <c r="C129" i="15"/>
  <c r="C130" i="15"/>
  <c r="C131" i="15"/>
  <c r="C132" i="15"/>
  <c r="C133" i="15"/>
  <c r="C134" i="15"/>
  <c r="C135" i="15"/>
  <c r="C112" i="15"/>
  <c r="W88" i="15"/>
  <c r="C88" i="15"/>
  <c r="C89" i="15"/>
  <c r="C90" i="15"/>
  <c r="C91" i="15"/>
  <c r="C92" i="15"/>
  <c r="C93" i="15"/>
  <c r="C94" i="15"/>
  <c r="C95" i="15"/>
  <c r="C96" i="15"/>
  <c r="C97" i="15"/>
  <c r="C98" i="15"/>
  <c r="C99" i="15"/>
  <c r="C100" i="15"/>
  <c r="C101" i="15"/>
  <c r="C102" i="15"/>
  <c r="C87" i="15"/>
  <c r="W69" i="15"/>
  <c r="W75" i="15"/>
  <c r="W68" i="15"/>
  <c r="C67" i="15"/>
  <c r="C68" i="15"/>
  <c r="C69" i="15"/>
  <c r="C70" i="15"/>
  <c r="C71" i="15"/>
  <c r="C72" i="15"/>
  <c r="C73" i="15"/>
  <c r="C74" i="15"/>
  <c r="C75" i="15"/>
  <c r="C66" i="15"/>
  <c r="W618" i="15"/>
  <c r="W615" i="15"/>
  <c r="W611" i="15"/>
  <c r="W608" i="15"/>
  <c r="W603" i="15"/>
  <c r="W600" i="15"/>
  <c r="W584" i="15"/>
  <c r="W570" i="15"/>
  <c r="W532" i="15"/>
  <c r="W519" i="15"/>
  <c r="W366" i="15"/>
  <c r="W363" i="15"/>
  <c r="W348" i="15"/>
  <c r="W334" i="15"/>
  <c r="W207" i="15"/>
  <c r="W194" i="15"/>
  <c r="W175" i="15"/>
  <c r="W148" i="15"/>
  <c r="W54" i="15"/>
  <c r="W46" i="15"/>
  <c r="W43" i="15"/>
  <c r="W40" i="15"/>
  <c r="W37" i="15"/>
  <c r="W17" i="15"/>
  <c r="W60" i="15"/>
  <c r="W52" i="15"/>
  <c r="C52" i="15"/>
  <c r="C53" i="15"/>
  <c r="C54" i="15"/>
  <c r="C55" i="15"/>
  <c r="C56" i="15"/>
  <c r="C57" i="15"/>
  <c r="C58" i="15"/>
  <c r="C59" i="15"/>
  <c r="C60" i="15"/>
  <c r="C61" i="15"/>
  <c r="C62" i="15"/>
  <c r="C63" i="15"/>
  <c r="C64" i="15"/>
  <c r="C51" i="15"/>
  <c r="W45" i="15"/>
  <c r="W42" i="15"/>
  <c r="W39" i="15"/>
  <c r="W36" i="15"/>
  <c r="C30" i="15"/>
  <c r="C31" i="15"/>
  <c r="C32" i="15"/>
  <c r="C33" i="15"/>
  <c r="C34" i="15"/>
  <c r="C35" i="15"/>
  <c r="C36" i="15"/>
  <c r="C37" i="15"/>
  <c r="C38" i="15"/>
  <c r="C39" i="15"/>
  <c r="C40" i="15"/>
  <c r="C41" i="15"/>
  <c r="C42" i="15"/>
  <c r="C43" i="15"/>
  <c r="C44" i="15"/>
  <c r="C45" i="15"/>
  <c r="C46" i="15"/>
  <c r="C47" i="15"/>
  <c r="C48" i="15"/>
  <c r="C49" i="15"/>
  <c r="C29" i="15"/>
  <c r="W27" i="15"/>
  <c r="W14" i="15"/>
  <c r="C14" i="15"/>
  <c r="C15" i="15"/>
  <c r="C16" i="15"/>
  <c r="C17" i="15"/>
  <c r="C18" i="15"/>
  <c r="C19" i="15"/>
  <c r="C20" i="15"/>
  <c r="C21" i="15"/>
  <c r="C22" i="15"/>
  <c r="C23" i="15"/>
  <c r="C24" i="15"/>
  <c r="C25" i="15"/>
  <c r="C26" i="15"/>
  <c r="C27" i="15"/>
  <c r="C13" i="15"/>
  <c r="W7" i="15"/>
  <c r="C7" i="15"/>
  <c r="C8" i="15"/>
  <c r="C9" i="15"/>
  <c r="C10" i="15"/>
  <c r="C11" i="15"/>
  <c r="C6" i="15"/>
  <c r="V7" i="15"/>
  <c r="V8" i="15"/>
  <c r="W8" i="15" s="1"/>
  <c r="V10" i="15"/>
  <c r="W10" i="15" s="1"/>
  <c r="V11" i="15"/>
  <c r="W11" i="15" s="1"/>
  <c r="V12" i="15"/>
  <c r="V13" i="15"/>
  <c r="W13" i="15" s="1"/>
  <c r="V14" i="15"/>
  <c r="V16" i="15"/>
  <c r="W16" i="15" s="1"/>
  <c r="V17" i="15"/>
  <c r="V19" i="15"/>
  <c r="W19" i="15" s="1"/>
  <c r="V20" i="15"/>
  <c r="W20" i="15" s="1"/>
  <c r="V21" i="15"/>
  <c r="W21" i="15" s="1"/>
  <c r="V22" i="15"/>
  <c r="W22" i="15" s="1"/>
  <c r="V24" i="15"/>
  <c r="W24" i="15" s="1"/>
  <c r="V25" i="15"/>
  <c r="W25" i="15" s="1"/>
  <c r="V27" i="15"/>
  <c r="V28" i="15"/>
  <c r="V29" i="15"/>
  <c r="V30" i="15"/>
  <c r="W30" i="15" s="1"/>
  <c r="V31" i="15"/>
  <c r="W31" i="15" s="1"/>
  <c r="V33" i="15"/>
  <c r="V34" i="15"/>
  <c r="W34" i="15" s="1"/>
  <c r="V35" i="15"/>
  <c r="W35" i="15" s="1"/>
  <c r="V36" i="15"/>
  <c r="V38" i="15"/>
  <c r="W38" i="15" s="1"/>
  <c r="V39" i="15"/>
  <c r="V41" i="15"/>
  <c r="W41" i="15" s="1"/>
  <c r="V42" i="15"/>
  <c r="V44" i="15"/>
  <c r="W44" i="15" s="1"/>
  <c r="V45" i="15"/>
  <c r="V47" i="15"/>
  <c r="W47" i="15" s="1"/>
  <c r="V48" i="15"/>
  <c r="W48" i="15" s="1"/>
  <c r="V49" i="15"/>
  <c r="W49" i="15" s="1"/>
  <c r="V50" i="15"/>
  <c r="V51" i="15"/>
  <c r="W51" i="15" s="1"/>
  <c r="V52" i="15"/>
  <c r="V53" i="15"/>
  <c r="W53" i="15" s="1"/>
  <c r="V55" i="15"/>
  <c r="W55" i="15" s="1"/>
  <c r="V56" i="15"/>
  <c r="W56" i="15" s="1"/>
  <c r="V57" i="15"/>
  <c r="W57" i="15" s="1"/>
  <c r="V58" i="15"/>
  <c r="W58" i="15" s="1"/>
  <c r="V59" i="15"/>
  <c r="W59" i="15" s="1"/>
  <c r="V60" i="15"/>
  <c r="V62" i="15"/>
  <c r="W62" i="15" s="1"/>
  <c r="V63" i="15"/>
  <c r="W63" i="15" s="1"/>
  <c r="V64" i="15"/>
  <c r="W64" i="15" s="1"/>
  <c r="V65" i="15"/>
  <c r="V66" i="15"/>
  <c r="W66" i="15" s="1"/>
  <c r="V67" i="15"/>
  <c r="W67" i="15" s="1"/>
  <c r="V68" i="15"/>
  <c r="V70" i="15"/>
  <c r="V71" i="15"/>
  <c r="W71" i="15" s="1"/>
  <c r="V72" i="15"/>
  <c r="W72" i="15" s="1"/>
  <c r="V73" i="15"/>
  <c r="W73" i="15" s="1"/>
  <c r="V74" i="15"/>
  <c r="W74" i="15" s="1"/>
  <c r="V75" i="15"/>
  <c r="V76" i="15"/>
  <c r="V77" i="15"/>
  <c r="V78" i="15"/>
  <c r="W78" i="15" s="1"/>
  <c r="V79" i="15"/>
  <c r="W79" i="15" s="1"/>
  <c r="V80" i="15"/>
  <c r="V81" i="15"/>
  <c r="W81" i="15" s="1"/>
  <c r="V82" i="15"/>
  <c r="W82" i="15" s="1"/>
  <c r="V83" i="15"/>
  <c r="W83" i="15" s="1"/>
  <c r="V84" i="15"/>
  <c r="W84" i="15" s="1"/>
  <c r="V85" i="15"/>
  <c r="V86" i="15"/>
  <c r="W86" i="15" s="1"/>
  <c r="V87" i="15"/>
  <c r="W87" i="15" s="1"/>
  <c r="V88" i="15"/>
  <c r="V89" i="15"/>
  <c r="W89" i="15" s="1"/>
  <c r="V90" i="15"/>
  <c r="W90" i="15" s="1"/>
  <c r="V92" i="15"/>
  <c r="W92" i="15" s="1"/>
  <c r="V94" i="15"/>
  <c r="W94" i="15" s="1"/>
  <c r="V95" i="15"/>
  <c r="W95" i="15" s="1"/>
  <c r="V97" i="15"/>
  <c r="W97" i="15" s="1"/>
  <c r="V99" i="15"/>
  <c r="W99" i="15" s="1"/>
  <c r="V101" i="15"/>
  <c r="W101" i="15" s="1"/>
  <c r="V102" i="15"/>
  <c r="W102" i="15" s="1"/>
  <c r="V103" i="15"/>
  <c r="V104" i="15"/>
  <c r="W104" i="15" s="1"/>
  <c r="V106" i="15"/>
  <c r="W106" i="15" s="1"/>
  <c r="V107" i="15"/>
  <c r="W107" i="15" s="1"/>
  <c r="V109" i="15"/>
  <c r="W109" i="15" s="1"/>
  <c r="V110" i="15"/>
  <c r="V111" i="15"/>
  <c r="V112" i="15"/>
  <c r="W112" i="15" s="1"/>
  <c r="V113" i="15"/>
  <c r="V114" i="15"/>
  <c r="W114" i="15" s="1"/>
  <c r="V115" i="15"/>
  <c r="W115" i="15" s="1"/>
  <c r="V117" i="15"/>
  <c r="W117" i="15" s="1"/>
  <c r="V119" i="15"/>
  <c r="W119" i="15" s="1"/>
  <c r="V120" i="15"/>
  <c r="W120" i="15" s="1"/>
  <c r="V122" i="15"/>
  <c r="W122" i="15" s="1"/>
  <c r="V124" i="15"/>
  <c r="W124" i="15" s="1"/>
  <c r="V125" i="15"/>
  <c r="V127" i="15"/>
  <c r="W127" i="15" s="1"/>
  <c r="V128" i="15"/>
  <c r="V130" i="15"/>
  <c r="V131" i="15"/>
  <c r="W131" i="15" s="1"/>
  <c r="V133" i="15"/>
  <c r="W133" i="15" s="1"/>
  <c r="V134" i="15"/>
  <c r="W134" i="15" s="1"/>
  <c r="V135" i="15"/>
  <c r="W135" i="15" s="1"/>
  <c r="V136" i="15"/>
  <c r="V137" i="15"/>
  <c r="W137" i="15" s="1"/>
  <c r="V138" i="15"/>
  <c r="V140" i="15"/>
  <c r="W140" i="15" s="1"/>
  <c r="V141" i="15"/>
  <c r="V143" i="15"/>
  <c r="W143" i="15" s="1"/>
  <c r="V144" i="15"/>
  <c r="W144" i="15" s="1"/>
  <c r="V145" i="15"/>
  <c r="W145" i="15" s="1"/>
  <c r="V147" i="15"/>
  <c r="W147" i="15" s="1"/>
  <c r="V148" i="15"/>
  <c r="V149" i="15"/>
  <c r="W149" i="15" s="1"/>
  <c r="V150" i="15"/>
  <c r="W150" i="15" s="1"/>
  <c r="V152" i="15"/>
  <c r="W152" i="15" s="1"/>
  <c r="V153" i="15"/>
  <c r="W153" i="15" s="1"/>
  <c r="V154" i="15"/>
  <c r="V155" i="15"/>
  <c r="W155" i="15" s="1"/>
  <c r="V156" i="15"/>
  <c r="W156" i="15" s="1"/>
  <c r="V157" i="15"/>
  <c r="W157" i="15" s="1"/>
  <c r="V158" i="15"/>
  <c r="W158" i="15" s="1"/>
  <c r="V159" i="15"/>
  <c r="W159" i="15" s="1"/>
  <c r="V161" i="15"/>
  <c r="W161" i="15" s="1"/>
  <c r="V162" i="15"/>
  <c r="V163" i="15"/>
  <c r="V165" i="15"/>
  <c r="W165" i="15" s="1"/>
  <c r="V166" i="15"/>
  <c r="W166" i="15" s="1"/>
  <c r="V167" i="15"/>
  <c r="V168" i="15"/>
  <c r="V169" i="15"/>
  <c r="W169" i="15" s="1"/>
  <c r="V170" i="15"/>
  <c r="V171" i="15"/>
  <c r="W171" i="15" s="1"/>
  <c r="V172" i="15"/>
  <c r="W172" i="15" s="1"/>
  <c r="V173" i="15"/>
  <c r="W173" i="15" s="1"/>
  <c r="V174" i="15"/>
  <c r="V176" i="15"/>
  <c r="W176" i="15" s="1"/>
  <c r="V177" i="15"/>
  <c r="V179" i="15"/>
  <c r="W179" i="15" s="1"/>
  <c r="V180" i="15"/>
  <c r="V182" i="15"/>
  <c r="W182" i="15" s="1"/>
  <c r="V183" i="15"/>
  <c r="V185" i="15"/>
  <c r="W185" i="15" s="1"/>
  <c r="V186" i="15"/>
  <c r="W186" i="15" s="1"/>
  <c r="V187" i="15"/>
  <c r="V188" i="15"/>
  <c r="W188" i="15" s="1"/>
  <c r="V189" i="15"/>
  <c r="W189" i="15" s="1"/>
  <c r="V190" i="15"/>
  <c r="W190" i="15" s="1"/>
  <c r="V191" i="15"/>
  <c r="V192" i="15"/>
  <c r="W192" i="15" s="1"/>
  <c r="V193" i="15"/>
  <c r="W193" i="15" s="1"/>
  <c r="V195" i="15"/>
  <c r="W195" i="15" s="1"/>
  <c r="V196" i="15"/>
  <c r="V198" i="15"/>
  <c r="W198" i="15" s="1"/>
  <c r="V199" i="15"/>
  <c r="W199" i="15" s="1"/>
  <c r="V201" i="15"/>
  <c r="W201" i="15" s="1"/>
  <c r="V203" i="15"/>
  <c r="W203" i="15" s="1"/>
  <c r="V204" i="15"/>
  <c r="W204" i="15" s="1"/>
  <c r="V205" i="15"/>
  <c r="W205" i="15" s="1"/>
  <c r="V206" i="15"/>
  <c r="W206" i="15" s="1"/>
  <c r="V208" i="15"/>
  <c r="W208" i="15" s="1"/>
  <c r="V209" i="15"/>
  <c r="V210" i="15"/>
  <c r="W210" i="15" s="1"/>
  <c r="V211" i="15"/>
  <c r="V212" i="15"/>
  <c r="W212" i="15" s="1"/>
  <c r="V214" i="15"/>
  <c r="W214" i="15" s="1"/>
  <c r="V215" i="15"/>
  <c r="V217" i="15"/>
  <c r="W217" i="15" s="1"/>
  <c r="V218" i="15"/>
  <c r="V220" i="15"/>
  <c r="W220" i="15" s="1"/>
  <c r="V221" i="15"/>
  <c r="V222" i="15"/>
  <c r="W222" i="15" s="1"/>
  <c r="V224" i="15"/>
  <c r="W224" i="15" s="1"/>
  <c r="V225" i="15"/>
  <c r="W225" i="15" s="1"/>
  <c r="V226" i="15"/>
  <c r="W226" i="15" s="1"/>
  <c r="V227" i="15"/>
  <c r="W227" i="15" s="1"/>
  <c r="V229" i="15"/>
  <c r="W229" i="15" s="1"/>
  <c r="V230" i="15"/>
  <c r="V232" i="15"/>
  <c r="W232" i="15" s="1"/>
  <c r="V234" i="15"/>
  <c r="W234" i="15" s="1"/>
  <c r="V235" i="15"/>
  <c r="W235" i="15" s="1"/>
  <c r="V236" i="15"/>
  <c r="V237" i="15"/>
  <c r="W237" i="15" s="1"/>
  <c r="V238" i="15"/>
  <c r="W238" i="15" s="1"/>
  <c r="V240" i="15"/>
  <c r="W240" i="15" s="1"/>
  <c r="V241" i="15"/>
  <c r="W241" i="15" s="1"/>
  <c r="V243" i="15"/>
  <c r="W243" i="15" s="1"/>
  <c r="V244" i="15"/>
  <c r="W244" i="15" s="1"/>
  <c r="V245" i="15"/>
  <c r="V247" i="15"/>
  <c r="W247" i="15" s="1"/>
  <c r="V248" i="15"/>
  <c r="V250" i="15"/>
  <c r="V251" i="15"/>
  <c r="W251" i="15" s="1"/>
  <c r="V252" i="15"/>
  <c r="W252" i="15" s="1"/>
  <c r="V254" i="15"/>
  <c r="V255" i="15"/>
  <c r="W255" i="15" s="1"/>
  <c r="V257" i="15"/>
  <c r="W257" i="15" s="1"/>
  <c r="V258" i="15"/>
  <c r="V259" i="15"/>
  <c r="W259" i="15" s="1"/>
  <c r="V260" i="15"/>
  <c r="W260" i="15" s="1"/>
  <c r="V261" i="15"/>
  <c r="V263" i="15"/>
  <c r="V264" i="15"/>
  <c r="W264" i="15" s="1"/>
  <c r="V267" i="15"/>
  <c r="W267" i="15" s="1"/>
  <c r="V268" i="15"/>
  <c r="V270" i="15"/>
  <c r="W270" i="15" s="1"/>
  <c r="V271" i="15"/>
  <c r="V273" i="15"/>
  <c r="W273" i="15" s="1"/>
  <c r="V274" i="15"/>
  <c r="V276" i="15"/>
  <c r="W276" i="15" s="1"/>
  <c r="V277" i="15"/>
  <c r="W277" i="15" s="1"/>
  <c r="V278" i="15"/>
  <c r="W278" i="15" s="1"/>
  <c r="V280" i="15"/>
  <c r="W280" i="15" s="1"/>
  <c r="V281" i="15"/>
  <c r="V282" i="15"/>
  <c r="W282" i="15" s="1"/>
  <c r="V283" i="15"/>
  <c r="W283" i="15" s="1"/>
  <c r="V284" i="15"/>
  <c r="V286" i="15"/>
  <c r="W286" i="15" s="1"/>
  <c r="V287" i="15"/>
  <c r="V288" i="15"/>
  <c r="V289" i="15"/>
  <c r="W289" i="15" s="1"/>
  <c r="V290" i="15"/>
  <c r="W290" i="15" s="1"/>
  <c r="V291" i="15"/>
  <c r="W291" i="15" s="1"/>
  <c r="V292" i="15"/>
  <c r="W292" i="15" s="1"/>
  <c r="V293" i="15"/>
  <c r="W293" i="15" s="1"/>
  <c r="V294" i="15"/>
  <c r="W294" i="15" s="1"/>
  <c r="V296" i="15"/>
  <c r="W296" i="15" s="1"/>
  <c r="V297" i="15"/>
  <c r="W297" i="15" s="1"/>
  <c r="V299" i="15"/>
  <c r="V300" i="15"/>
  <c r="W300" i="15" s="1"/>
  <c r="V301" i="15"/>
  <c r="W301" i="15" s="1"/>
  <c r="V302" i="15"/>
  <c r="W302" i="15" s="1"/>
  <c r="V304" i="15"/>
  <c r="V305" i="15"/>
  <c r="W305" i="15" s="1"/>
  <c r="V306" i="15"/>
  <c r="W306" i="15" s="1"/>
  <c r="V308" i="15"/>
  <c r="W308" i="15" s="1"/>
  <c r="V309" i="15"/>
  <c r="V310" i="15"/>
  <c r="V311" i="15"/>
  <c r="V312" i="15"/>
  <c r="V313" i="15"/>
  <c r="W313" i="15" s="1"/>
  <c r="V315" i="15"/>
  <c r="W315" i="15" s="1"/>
  <c r="V317" i="15"/>
  <c r="W317" i="15" s="1"/>
  <c r="V318" i="15"/>
  <c r="V320" i="15"/>
  <c r="W320" i="15" s="1"/>
  <c r="V321" i="15"/>
  <c r="V323" i="15"/>
  <c r="W323" i="15" s="1"/>
  <c r="V324" i="15"/>
  <c r="V325" i="15"/>
  <c r="V326" i="15"/>
  <c r="W326" i="15" s="1"/>
  <c r="V327" i="15"/>
  <c r="W327" i="15" s="1"/>
  <c r="V328" i="15"/>
  <c r="W328" i="15" s="1"/>
  <c r="V329" i="15"/>
  <c r="V330" i="15"/>
  <c r="W330" i="15" s="1"/>
  <c r="V331" i="15"/>
  <c r="W331" i="15" s="1"/>
  <c r="V332" i="15"/>
  <c r="W332" i="15" s="1"/>
  <c r="V333" i="15"/>
  <c r="W333" i="15" s="1"/>
  <c r="V335" i="15"/>
  <c r="W335" i="15" s="1"/>
  <c r="V336" i="15"/>
  <c r="V338" i="15"/>
  <c r="W338" i="15" s="1"/>
  <c r="V339" i="15"/>
  <c r="W339" i="15" s="1"/>
  <c r="V340" i="15"/>
  <c r="W340" i="15" s="1"/>
  <c r="V341" i="15"/>
  <c r="W341" i="15" s="1"/>
  <c r="V342" i="15"/>
  <c r="W342" i="15" s="1"/>
  <c r="V343" i="15"/>
  <c r="W343" i="15" s="1"/>
  <c r="V344" i="15"/>
  <c r="W344" i="15" s="1"/>
  <c r="V345" i="15"/>
  <c r="W345" i="15" s="1"/>
  <c r="V346" i="15"/>
  <c r="V347" i="15"/>
  <c r="V349" i="15"/>
  <c r="W349" i="15" s="1"/>
  <c r="V350" i="15"/>
  <c r="V351" i="15"/>
  <c r="V352" i="15"/>
  <c r="V353" i="15"/>
  <c r="W353" i="15" s="1"/>
  <c r="V354" i="15"/>
  <c r="W354" i="15" s="1"/>
  <c r="V356" i="15"/>
  <c r="W356" i="15" s="1"/>
  <c r="V357" i="15"/>
  <c r="W357" i="15" s="1"/>
  <c r="V358" i="15"/>
  <c r="W358" i="15" s="1"/>
  <c r="V360" i="15"/>
  <c r="W360" i="15" s="1"/>
  <c r="V361" i="15"/>
  <c r="W361" i="15" s="1"/>
  <c r="V362" i="15"/>
  <c r="W362" i="15" s="1"/>
  <c r="V364" i="15"/>
  <c r="W364" i="15" s="1"/>
  <c r="V365" i="15"/>
  <c r="W365" i="15" s="1"/>
  <c r="V367" i="15"/>
  <c r="W367" i="15" s="1"/>
  <c r="V368" i="15"/>
  <c r="W368" i="15" s="1"/>
  <c r="V369" i="15"/>
  <c r="W369" i="15" s="1"/>
  <c r="V371" i="15"/>
  <c r="V372" i="15"/>
  <c r="W372" i="15" s="1"/>
  <c r="V373" i="15"/>
  <c r="W373" i="15" s="1"/>
  <c r="V375" i="15"/>
  <c r="W375" i="15" s="1"/>
  <c r="V376" i="15"/>
  <c r="W376" i="15" s="1"/>
  <c r="V377" i="15"/>
  <c r="V378" i="15"/>
  <c r="W378" i="15" s="1"/>
  <c r="V379" i="15"/>
  <c r="V381" i="15"/>
  <c r="W381" i="15" s="1"/>
  <c r="V383" i="15"/>
  <c r="W383" i="15" s="1"/>
  <c r="V384" i="15"/>
  <c r="W384" i="15" s="1"/>
  <c r="V385" i="15"/>
  <c r="V387" i="15"/>
  <c r="W387" i="15" s="1"/>
  <c r="V388" i="15"/>
  <c r="W388" i="15" s="1"/>
  <c r="V389" i="15"/>
  <c r="W389" i="15" s="1"/>
  <c r="V391" i="15"/>
  <c r="V392" i="15"/>
  <c r="W392" i="15" s="1"/>
  <c r="V393" i="15"/>
  <c r="V395" i="15"/>
  <c r="W395" i="15" s="1"/>
  <c r="V396" i="15"/>
  <c r="W396" i="15" s="1"/>
  <c r="V397" i="15"/>
  <c r="V398" i="15"/>
  <c r="W398" i="15" s="1"/>
  <c r="V399" i="15"/>
  <c r="W399" i="15" s="1"/>
  <c r="V401" i="15"/>
  <c r="W401" i="15" s="1"/>
  <c r="V402" i="15"/>
  <c r="W402" i="15" s="1"/>
  <c r="V403" i="15"/>
  <c r="W403" i="15" s="1"/>
  <c r="V404" i="15"/>
  <c r="W404" i="15" s="1"/>
  <c r="V406" i="15"/>
  <c r="W406" i="15" s="1"/>
  <c r="V407" i="15"/>
  <c r="W407" i="15" s="1"/>
  <c r="V408" i="15"/>
  <c r="W408" i="15" s="1"/>
  <c r="V409" i="15"/>
  <c r="W409" i="15" s="1"/>
  <c r="V411" i="15"/>
  <c r="V412" i="15"/>
  <c r="W412" i="15" s="1"/>
  <c r="V414" i="15"/>
  <c r="W414" i="15" s="1"/>
  <c r="V415" i="15"/>
  <c r="W415" i="15" s="1"/>
  <c r="V416" i="15"/>
  <c r="W416" i="15" s="1"/>
  <c r="V417" i="15"/>
  <c r="W417" i="15" s="1"/>
  <c r="V419" i="15"/>
  <c r="W419" i="15" s="1"/>
  <c r="V420" i="15"/>
  <c r="W420" i="15" s="1"/>
  <c r="V421" i="15"/>
  <c r="W421" i="15" s="1"/>
  <c r="V422" i="15"/>
  <c r="W422" i="15" s="1"/>
  <c r="V423" i="15"/>
  <c r="V424" i="15"/>
  <c r="W424" i="15" s="1"/>
  <c r="V425" i="15"/>
  <c r="W425" i="15" s="1"/>
  <c r="V427" i="15"/>
  <c r="W427" i="15" s="1"/>
  <c r="V428" i="15"/>
  <c r="W428" i="15" s="1"/>
  <c r="V429" i="15"/>
  <c r="W429" i="15" s="1"/>
  <c r="V430" i="15"/>
  <c r="V431" i="15"/>
  <c r="W431" i="15" s="1"/>
  <c r="V432" i="15"/>
  <c r="W432" i="15" s="1"/>
  <c r="V434" i="15"/>
  <c r="V435" i="15"/>
  <c r="W435" i="15" s="1"/>
  <c r="V437" i="15"/>
  <c r="W437" i="15" s="1"/>
  <c r="V438" i="15"/>
  <c r="W438" i="15" s="1"/>
  <c r="V439" i="15"/>
  <c r="W439" i="15" s="1"/>
  <c r="V440" i="15"/>
  <c r="V442" i="15"/>
  <c r="V443" i="15"/>
  <c r="W443" i="15" s="1"/>
  <c r="V444" i="15"/>
  <c r="V446" i="15"/>
  <c r="W446" i="15" s="1"/>
  <c r="V447" i="15"/>
  <c r="W447" i="15" s="1"/>
  <c r="V448" i="15"/>
  <c r="V449" i="15"/>
  <c r="W449" i="15" s="1"/>
  <c r="V450" i="15"/>
  <c r="W450" i="15" s="1"/>
  <c r="V452" i="15"/>
  <c r="W452" i="15" s="1"/>
  <c r="V453" i="15"/>
  <c r="W453" i="15" s="1"/>
  <c r="V454" i="15"/>
  <c r="V456" i="15"/>
  <c r="W456" i="15" s="1"/>
  <c r="V457" i="15"/>
  <c r="W457" i="15" s="1"/>
  <c r="V458" i="15"/>
  <c r="V459" i="15"/>
  <c r="V460" i="15"/>
  <c r="V461" i="15"/>
  <c r="V462" i="15"/>
  <c r="V463" i="15"/>
  <c r="W463" i="15" s="1"/>
  <c r="V464" i="15"/>
  <c r="W464" i="15" s="1"/>
  <c r="V465" i="15"/>
  <c r="V466" i="15"/>
  <c r="W466" i="15" s="1"/>
  <c r="V467" i="15"/>
  <c r="V468" i="15"/>
  <c r="W468" i="15" s="1"/>
  <c r="V469" i="15"/>
  <c r="V470" i="15"/>
  <c r="W470" i="15" s="1"/>
  <c r="V471" i="15"/>
  <c r="W471" i="15" s="1"/>
  <c r="V472" i="15"/>
  <c r="V474" i="15"/>
  <c r="W474" i="15" s="1"/>
  <c r="V475" i="15"/>
  <c r="W475" i="15" s="1"/>
  <c r="V477" i="15"/>
  <c r="W477" i="15" s="1"/>
  <c r="V478" i="15"/>
  <c r="W478" i="15" s="1"/>
  <c r="V479" i="15"/>
  <c r="V481" i="15"/>
  <c r="W481" i="15" s="1"/>
  <c r="V482" i="15"/>
  <c r="V484" i="15"/>
  <c r="W484" i="15" s="1"/>
  <c r="V485" i="15"/>
  <c r="W485" i="15" s="1"/>
  <c r="V486" i="15"/>
  <c r="W486" i="15" s="1"/>
  <c r="V487" i="15"/>
  <c r="V488" i="15"/>
  <c r="W488" i="15" s="1"/>
  <c r="V489" i="15"/>
  <c r="V491" i="15"/>
  <c r="W491" i="15" s="1"/>
  <c r="V492" i="15"/>
  <c r="V494" i="15"/>
  <c r="W494" i="15" s="1"/>
  <c r="V495" i="15"/>
  <c r="W495" i="15" s="1"/>
  <c r="V496" i="15"/>
  <c r="W496" i="15" s="1"/>
  <c r="V498" i="15"/>
  <c r="W498" i="15" s="1"/>
  <c r="V499" i="15"/>
  <c r="W499" i="15" s="1"/>
  <c r="V500" i="15"/>
  <c r="W500" i="15" s="1"/>
  <c r="V501" i="15"/>
  <c r="W501" i="15" s="1"/>
  <c r="V503" i="15"/>
  <c r="W503" i="15" s="1"/>
  <c r="V504" i="15"/>
  <c r="W504" i="15" s="1"/>
  <c r="V505" i="15"/>
  <c r="W505" i="15" s="1"/>
  <c r="V506" i="15"/>
  <c r="W506" i="15" s="1"/>
  <c r="V507" i="15"/>
  <c r="W507" i="15" s="1"/>
  <c r="V509" i="15"/>
  <c r="W509" i="15" s="1"/>
  <c r="V510" i="15"/>
  <c r="W510" i="15" s="1"/>
  <c r="V511" i="15"/>
  <c r="V512" i="15"/>
  <c r="W512" i="15" s="1"/>
  <c r="V513" i="15"/>
  <c r="W513" i="15" s="1"/>
  <c r="V514" i="15"/>
  <c r="W514" i="15" s="1"/>
  <c r="V515" i="15"/>
  <c r="W515" i="15" s="1"/>
  <c r="V516" i="15"/>
  <c r="W516" i="15" s="1"/>
  <c r="V517" i="15"/>
  <c r="V518" i="15"/>
  <c r="W518" i="15" s="1"/>
  <c r="V520" i="15"/>
  <c r="W520" i="15" s="1"/>
  <c r="V521" i="15"/>
  <c r="W521" i="15" s="1"/>
  <c r="V522" i="15"/>
  <c r="V524" i="15"/>
  <c r="V525" i="15"/>
  <c r="V527" i="15"/>
  <c r="W527" i="15" s="1"/>
  <c r="V528" i="15"/>
  <c r="V530" i="15"/>
  <c r="W530" i="15" s="1"/>
  <c r="V531" i="15"/>
  <c r="W531" i="15" s="1"/>
  <c r="V533" i="15"/>
  <c r="W533" i="15" s="1"/>
  <c r="V534" i="15"/>
  <c r="V536" i="15"/>
  <c r="W536" i="15" s="1"/>
  <c r="V537" i="15"/>
  <c r="W537" i="15" s="1"/>
  <c r="V538" i="15"/>
  <c r="V539" i="15"/>
  <c r="W539" i="15" s="1"/>
  <c r="V540" i="15"/>
  <c r="W540" i="15" s="1"/>
  <c r="V542" i="15"/>
  <c r="W542" i="15" s="1"/>
  <c r="V543" i="15"/>
  <c r="V545" i="15"/>
  <c r="W545" i="15" s="1"/>
  <c r="V546" i="15"/>
  <c r="W546" i="15" s="1"/>
  <c r="V547" i="15"/>
  <c r="W547" i="15" s="1"/>
  <c r="V548" i="15"/>
  <c r="W548" i="15" s="1"/>
  <c r="V549" i="15"/>
  <c r="W549" i="15" s="1"/>
  <c r="V551" i="15"/>
  <c r="W551" i="15" s="1"/>
  <c r="V552" i="15"/>
  <c r="W552" i="15" s="1"/>
  <c r="V554" i="15"/>
  <c r="W554" i="15" s="1"/>
  <c r="V555" i="15"/>
  <c r="W555" i="15" s="1"/>
  <c r="V556" i="15"/>
  <c r="W556" i="15" s="1"/>
  <c r="V558" i="15"/>
  <c r="W558" i="15" s="1"/>
  <c r="V559" i="15"/>
  <c r="W559" i="15" s="1"/>
  <c r="V560" i="15"/>
  <c r="W560" i="15" s="1"/>
  <c r="V561" i="15"/>
  <c r="V562" i="15"/>
  <c r="W562" i="15" s="1"/>
  <c r="V563" i="15"/>
  <c r="W563" i="15" s="1"/>
  <c r="V564" i="15"/>
  <c r="V565" i="15"/>
  <c r="W565" i="15" s="1"/>
  <c r="V566" i="15"/>
  <c r="W566" i="15" s="1"/>
  <c r="V567" i="15"/>
  <c r="W567" i="15" s="1"/>
  <c r="V568" i="15"/>
  <c r="W568" i="15" s="1"/>
  <c r="V569" i="15"/>
  <c r="V571" i="15"/>
  <c r="W571" i="15" s="1"/>
  <c r="V572" i="15"/>
  <c r="V574" i="15"/>
  <c r="W574" i="15" s="1"/>
  <c r="V575" i="15"/>
  <c r="V577" i="15"/>
  <c r="W577" i="15" s="1"/>
  <c r="V578" i="15"/>
  <c r="V580" i="15"/>
  <c r="W580" i="15" s="1"/>
  <c r="V581" i="15"/>
  <c r="V582" i="15"/>
  <c r="W582" i="15" s="1"/>
  <c r="V583" i="15"/>
  <c r="W583" i="15" s="1"/>
  <c r="V585" i="15"/>
  <c r="W585" i="15" s="1"/>
  <c r="V586" i="15"/>
  <c r="W586" i="15" s="1"/>
  <c r="V587" i="15"/>
  <c r="V588" i="15"/>
  <c r="W588" i="15" s="1"/>
  <c r="V589" i="15"/>
  <c r="V591" i="15"/>
  <c r="W591" i="15" s="1"/>
  <c r="V592" i="15"/>
  <c r="V594" i="15"/>
  <c r="V596" i="15"/>
  <c r="W596" i="15" s="1"/>
  <c r="V597" i="15"/>
  <c r="W597" i="15" s="1"/>
  <c r="V598" i="15"/>
  <c r="W598" i="15" s="1"/>
  <c r="V599" i="15"/>
  <c r="V601" i="15"/>
  <c r="W601" i="15" s="1"/>
  <c r="V602" i="15"/>
  <c r="W602" i="15" s="1"/>
  <c r="V604" i="15"/>
  <c r="W604" i="15" s="1"/>
  <c r="V605" i="15"/>
  <c r="V606" i="15"/>
  <c r="W606" i="15" s="1"/>
  <c r="V607" i="15"/>
  <c r="W607" i="15" s="1"/>
  <c r="V609" i="15"/>
  <c r="W609" i="15" s="1"/>
  <c r="V610" i="15"/>
  <c r="W610" i="15" s="1"/>
  <c r="V612" i="15"/>
  <c r="W612" i="15" s="1"/>
  <c r="V613" i="15"/>
  <c r="W613" i="15" s="1"/>
  <c r="V614" i="15"/>
  <c r="W614" i="15" s="1"/>
  <c r="V616" i="15"/>
  <c r="W616" i="15" s="1"/>
  <c r="V617" i="15"/>
  <c r="W617" i="15" s="1"/>
  <c r="V619" i="15"/>
  <c r="W619" i="15" s="1"/>
  <c r="V620" i="15"/>
  <c r="W620" i="15" s="1"/>
  <c r="V621" i="15"/>
  <c r="W621" i="15" s="1"/>
  <c r="V622" i="15"/>
  <c r="W622" i="15" s="1"/>
  <c r="V623" i="15"/>
  <c r="V625" i="15"/>
  <c r="W625" i="15" s="1"/>
  <c r="V626" i="15"/>
  <c r="W626" i="15" s="1"/>
  <c r="V627" i="15"/>
  <c r="V629" i="15"/>
  <c r="W629" i="15" s="1"/>
  <c r="V630" i="15"/>
  <c r="W630" i="15" s="1"/>
  <c r="V631" i="15"/>
  <c r="V632" i="15"/>
  <c r="W632" i="15" s="1"/>
  <c r="V633" i="15"/>
  <c r="W633" i="15" s="1"/>
  <c r="V635" i="15"/>
  <c r="W635" i="15" s="1"/>
  <c r="V636" i="15"/>
  <c r="W636" i="15" s="1"/>
  <c r="V637" i="15"/>
  <c r="W637" i="15" s="1"/>
  <c r="V639" i="15"/>
  <c r="W639" i="15" s="1"/>
  <c r="V641" i="15"/>
  <c r="W641" i="15" s="1"/>
  <c r="V642" i="15"/>
  <c r="W642" i="15" s="1"/>
  <c r="V643" i="15"/>
  <c r="W643" i="15" s="1"/>
  <c r="V644" i="15"/>
  <c r="W644" i="15" s="1"/>
  <c r="V646" i="15"/>
  <c r="W646" i="15" s="1"/>
  <c r="V647" i="15"/>
  <c r="W647" i="15" s="1"/>
  <c r="V649" i="15"/>
  <c r="W649" i="15" s="1"/>
  <c r="V650" i="15"/>
  <c r="W650" i="15" s="1"/>
  <c r="V651" i="15"/>
  <c r="W651" i="15" s="1"/>
  <c r="V652" i="15"/>
  <c r="W652" i="15" s="1"/>
  <c r="V653" i="15"/>
  <c r="W653" i="15" s="1"/>
  <c r="V654" i="15"/>
  <c r="V655" i="15"/>
  <c r="W655" i="15" s="1"/>
  <c r="V657" i="15"/>
  <c r="W657" i="15" s="1"/>
  <c r="V658" i="15"/>
  <c r="W658" i="15" s="1"/>
  <c r="V659" i="15"/>
  <c r="W659" i="15" s="1"/>
  <c r="V660" i="15"/>
  <c r="W660" i="15" s="1"/>
  <c r="V661" i="15"/>
  <c r="W661" i="15" s="1"/>
  <c r="V662" i="15"/>
  <c r="W662" i="15" s="1"/>
  <c r="V664" i="15"/>
  <c r="W664" i="15" s="1"/>
  <c r="V666" i="15"/>
  <c r="W666" i="15" s="1"/>
  <c r="V667" i="15"/>
  <c r="W667" i="15" s="1"/>
  <c r="V669" i="15"/>
  <c r="W669" i="15" s="1"/>
  <c r="V670" i="15"/>
  <c r="V672" i="15"/>
  <c r="W672" i="15" s="1"/>
  <c r="V673" i="15"/>
  <c r="V674" i="15"/>
  <c r="V675" i="15"/>
  <c r="W675" i="15" s="1"/>
  <c r="V676" i="15"/>
  <c r="V677" i="15"/>
  <c r="W677" i="15" s="1"/>
  <c r="V678" i="15"/>
  <c r="V679" i="15"/>
  <c r="W679" i="15" s="1"/>
  <c r="V680" i="15"/>
  <c r="V681" i="15"/>
  <c r="W681" i="15" s="1"/>
  <c r="V682" i="15"/>
  <c r="W682" i="15" s="1"/>
  <c r="V683" i="15"/>
  <c r="W683" i="15" s="1"/>
  <c r="V685" i="15"/>
  <c r="W685" i="15" s="1"/>
  <c r="V686" i="15"/>
  <c r="W686" i="15" s="1"/>
  <c r="V687" i="15"/>
  <c r="V689" i="15"/>
  <c r="W689" i="15" s="1"/>
  <c r="V690" i="15"/>
  <c r="W690" i="15" s="1"/>
  <c r="V692" i="15"/>
  <c r="W692" i="15" s="1"/>
  <c r="V693" i="15"/>
  <c r="W693" i="15" s="1"/>
  <c r="V694" i="15"/>
  <c r="V695" i="15"/>
  <c r="W695" i="15" s="1"/>
  <c r="V696" i="15"/>
  <c r="W696" i="15" s="1"/>
  <c r="V697" i="15"/>
  <c r="W697" i="15" s="1"/>
  <c r="V698" i="15"/>
  <c r="W698" i="15" s="1"/>
  <c r="V699" i="15"/>
  <c r="V701" i="15"/>
  <c r="W701" i="15" s="1"/>
  <c r="V702" i="15"/>
  <c r="W702" i="15" s="1"/>
  <c r="V703" i="15"/>
  <c r="W703" i="15" s="1"/>
  <c r="V705" i="15"/>
  <c r="V706" i="15"/>
  <c r="W706" i="15" s="1"/>
  <c r="V707" i="15"/>
  <c r="W707" i="15" s="1"/>
  <c r="V708" i="15"/>
  <c r="V709" i="15"/>
  <c r="V710" i="15"/>
  <c r="W710" i="15" s="1"/>
  <c r="V6" i="15"/>
  <c r="W6" i="15" s="1"/>
  <c r="G54" i="3"/>
  <c r="V32" i="15" s="1"/>
  <c r="W32" i="15" s="1"/>
  <c r="V4" i="15"/>
  <c r="W4" i="15" s="1"/>
  <c r="V5" i="15"/>
  <c r="W5" i="15" s="1"/>
  <c r="V4" i="24"/>
  <c r="W4" i="24" s="1"/>
  <c r="V5" i="24"/>
  <c r="V6" i="24"/>
  <c r="W6" i="24" s="1"/>
  <c r="V7" i="24"/>
  <c r="W7" i="24" s="1"/>
  <c r="V8" i="24"/>
  <c r="W8" i="24" s="1"/>
  <c r="V10" i="24"/>
  <c r="W10" i="24" s="1"/>
  <c r="V11" i="24"/>
  <c r="W11" i="24" s="1"/>
  <c r="V12" i="24"/>
  <c r="V13" i="24"/>
  <c r="W13" i="24" s="1"/>
  <c r="V14" i="24"/>
  <c r="W14" i="24" s="1"/>
  <c r="V15" i="24"/>
  <c r="W15" i="24" s="1"/>
  <c r="V16" i="24"/>
  <c r="W16" i="24" s="1"/>
  <c r="V17" i="24"/>
  <c r="W17" i="24" s="1"/>
  <c r="V18" i="24"/>
  <c r="W18" i="24" s="1"/>
  <c r="V19" i="24"/>
  <c r="W19" i="24" s="1"/>
  <c r="V20" i="24"/>
  <c r="W20" i="24" s="1"/>
  <c r="V21" i="24"/>
  <c r="W21" i="24" s="1"/>
  <c r="V22" i="24"/>
  <c r="W22" i="24" s="1"/>
  <c r="V23" i="24"/>
  <c r="W23" i="24" s="1"/>
  <c r="V24" i="24"/>
  <c r="V25" i="24"/>
  <c r="W25" i="24" s="1"/>
  <c r="V26" i="24"/>
  <c r="V28" i="24"/>
  <c r="V29" i="24"/>
  <c r="W29" i="24" s="1"/>
  <c r="V31" i="24"/>
  <c r="V32" i="24"/>
  <c r="W32" i="24" s="1"/>
  <c r="V33" i="24"/>
  <c r="W33" i="24" s="1"/>
  <c r="V34" i="24"/>
  <c r="W34" i="24" s="1"/>
  <c r="V36" i="24"/>
  <c r="V38" i="24"/>
  <c r="W38" i="24" s="1"/>
  <c r="V39" i="24"/>
  <c r="W39" i="24" s="1"/>
  <c r="V40" i="24"/>
  <c r="V41" i="24"/>
  <c r="W41" i="24" s="1"/>
  <c r="V42" i="24"/>
  <c r="W42" i="24" s="1"/>
  <c r="V43" i="24"/>
  <c r="W43" i="24" s="1"/>
  <c r="V44" i="24"/>
  <c r="W44" i="24" s="1"/>
  <c r="V45" i="24"/>
  <c r="W45" i="24" s="1"/>
  <c r="V46" i="24"/>
  <c r="W46" i="24" s="1"/>
  <c r="V47" i="24"/>
  <c r="W47" i="24" s="1"/>
  <c r="V48" i="24"/>
  <c r="W48" i="24" s="1"/>
  <c r="V49" i="24"/>
  <c r="W49" i="24" s="1"/>
  <c r="V50" i="24"/>
  <c r="W50" i="24" s="1"/>
  <c r="V51" i="24"/>
  <c r="W51" i="24" s="1"/>
  <c r="V52" i="24"/>
  <c r="W52" i="24" s="1"/>
  <c r="V53" i="24"/>
  <c r="W53" i="24" s="1"/>
  <c r="V55" i="24"/>
  <c r="W55" i="24" s="1"/>
  <c r="V56" i="24"/>
  <c r="V57" i="24"/>
  <c r="W57" i="24" s="1"/>
  <c r="V58" i="24"/>
  <c r="W58" i="24" s="1"/>
  <c r="V59" i="24"/>
  <c r="W59" i="24" s="1"/>
  <c r="V60" i="24"/>
  <c r="W60" i="24" s="1"/>
  <c r="V61" i="24"/>
  <c r="W61" i="24" s="1"/>
  <c r="V64" i="24"/>
  <c r="W64" i="24" s="1"/>
  <c r="V66" i="24"/>
  <c r="W66" i="24" s="1"/>
  <c r="V67" i="24"/>
  <c r="W67" i="24" s="1"/>
  <c r="W587" i="15" l="1"/>
  <c r="W187" i="15"/>
  <c r="W538" i="15"/>
  <c r="W605" i="15"/>
  <c r="W76" i="15"/>
  <c r="W50" i="15"/>
  <c r="V11" i="6" l="1"/>
  <c r="P5" i="6"/>
  <c r="V4" i="14" l="1"/>
  <c r="W4" i="14" s="1"/>
  <c r="G406" i="3" l="1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3" i="3"/>
  <c r="G11" i="3"/>
  <c r="D6" i="6" l="1"/>
  <c r="G8" i="3" l="1"/>
  <c r="L34" i="6" l="1"/>
  <c r="C39" i="4" l="1"/>
  <c r="G328" i="3" l="1"/>
  <c r="G329" i="3"/>
  <c r="G330" i="3"/>
  <c r="G331" i="3"/>
  <c r="G332" i="3"/>
  <c r="G333" i="3"/>
  <c r="G334" i="3"/>
  <c r="G335" i="3"/>
  <c r="G336" i="3"/>
  <c r="G337" i="3"/>
  <c r="G338" i="3"/>
  <c r="G339" i="3"/>
  <c r="G340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V9" i="24" s="1"/>
  <c r="W9" i="24" s="1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V848" i="15" l="1"/>
  <c r="W848" i="15" s="1"/>
  <c r="V852" i="15"/>
  <c r="W852" i="15" s="1"/>
  <c r="V855" i="15"/>
  <c r="W855" i="15" s="1"/>
  <c r="V845" i="15"/>
  <c r="W845" i="15" s="1"/>
  <c r="K179" i="4"/>
  <c r="H179" i="4"/>
  <c r="C215" i="4" l="1"/>
  <c r="C213" i="4"/>
  <c r="C212" i="4"/>
  <c r="C211" i="4"/>
  <c r="F34" i="6"/>
  <c r="C85" i="4" l="1"/>
  <c r="C81" i="4"/>
  <c r="C73" i="4" l="1"/>
  <c r="G28" i="3" l="1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5" i="3"/>
  <c r="G56" i="3"/>
  <c r="G57" i="3"/>
  <c r="G58" i="3"/>
  <c r="V242" i="15" s="1"/>
  <c r="W242" i="15" s="1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V61" i="15" s="1"/>
  <c r="W61" i="15" s="1"/>
  <c r="W65" i="15" s="1"/>
  <c r="G105" i="3"/>
  <c r="G106" i="3"/>
  <c r="V9" i="15" s="1"/>
  <c r="W9" i="15" s="1"/>
  <c r="W12" i="15" s="1"/>
  <c r="G107" i="3"/>
  <c r="G108" i="3"/>
  <c r="G109" i="3"/>
  <c r="G110" i="3"/>
  <c r="G111" i="3"/>
  <c r="G112" i="3"/>
  <c r="G113" i="3"/>
  <c r="V116" i="15" s="1"/>
  <c r="W116" i="15" s="1"/>
  <c r="G114" i="3"/>
  <c r="G115" i="3"/>
  <c r="G116" i="3"/>
  <c r="G117" i="3"/>
  <c r="V129" i="15" s="1"/>
  <c r="W129" i="15" s="1"/>
  <c r="G118" i="3"/>
  <c r="V164" i="15" s="1"/>
  <c r="W164" i="15" s="1"/>
  <c r="G119" i="3"/>
  <c r="V285" i="15" s="1"/>
  <c r="W285" i="15" s="1"/>
  <c r="W288" i="15" s="1"/>
  <c r="G120" i="3"/>
  <c r="V160" i="15" s="1"/>
  <c r="W160" i="15" s="1"/>
  <c r="W168" i="15" s="1"/>
  <c r="G121" i="3"/>
  <c r="G122" i="3"/>
  <c r="G123" i="3"/>
  <c r="G124" i="3"/>
  <c r="V202" i="15" s="1"/>
  <c r="W202" i="15" s="1"/>
  <c r="W209" i="15" s="1"/>
  <c r="G125" i="3"/>
  <c r="G126" i="3"/>
  <c r="G127" i="3"/>
  <c r="G128" i="3"/>
  <c r="G129" i="3"/>
  <c r="V246" i="15" s="1"/>
  <c r="W246" i="15" s="1"/>
  <c r="G130" i="3"/>
  <c r="V155" i="14" s="1"/>
  <c r="W155" i="14" s="1"/>
  <c r="G131" i="3"/>
  <c r="G132" i="3"/>
  <c r="G133" i="3"/>
  <c r="V27" i="24" s="1"/>
  <c r="W27" i="24" s="1"/>
  <c r="G134" i="3"/>
  <c r="G135" i="3"/>
  <c r="V279" i="15" s="1"/>
  <c r="W279" i="15" s="1"/>
  <c r="G136" i="3"/>
  <c r="G137" i="3"/>
  <c r="G138" i="3"/>
  <c r="G139" i="3"/>
  <c r="G140" i="3"/>
  <c r="G141" i="3"/>
  <c r="G142" i="3"/>
  <c r="V295" i="15" s="1"/>
  <c r="W295" i="15" s="1"/>
  <c r="G143" i="3"/>
  <c r="G144" i="3"/>
  <c r="G145" i="3"/>
  <c r="V359" i="15" s="1"/>
  <c r="W359" i="15" s="1"/>
  <c r="G146" i="3"/>
  <c r="V143" i="14" s="1"/>
  <c r="W143" i="14" s="1"/>
  <c r="G147" i="3"/>
  <c r="V189" i="14" s="1"/>
  <c r="W189" i="14" s="1"/>
  <c r="G148" i="3"/>
  <c r="G149" i="3"/>
  <c r="V355" i="15" s="1"/>
  <c r="W355" i="15" s="1"/>
  <c r="G150" i="3"/>
  <c r="V30" i="24" s="1"/>
  <c r="W30" i="24" s="1"/>
  <c r="G151" i="3"/>
  <c r="G152" i="3"/>
  <c r="G153" i="3"/>
  <c r="V131" i="14" s="1"/>
  <c r="W131" i="14" s="1"/>
  <c r="G155" i="3"/>
  <c r="G156" i="3"/>
  <c r="G157" i="3"/>
  <c r="G158" i="3"/>
  <c r="G159" i="3"/>
  <c r="G160" i="3"/>
  <c r="G161" i="3"/>
  <c r="G162" i="3"/>
  <c r="G163" i="3"/>
  <c r="V35" i="24" s="1"/>
  <c r="W35" i="24" s="1"/>
  <c r="G164" i="3"/>
  <c r="G165" i="3"/>
  <c r="V370" i="15" s="1"/>
  <c r="W370" i="15" s="1"/>
  <c r="G166" i="3"/>
  <c r="G167" i="3"/>
  <c r="G168" i="3"/>
  <c r="G169" i="3"/>
  <c r="V173" i="14" s="1"/>
  <c r="W173" i="14" s="1"/>
  <c r="G170" i="3"/>
  <c r="G171" i="3"/>
  <c r="G172" i="3"/>
  <c r="G173" i="3"/>
  <c r="G174" i="3"/>
  <c r="G175" i="3"/>
  <c r="G176" i="3"/>
  <c r="G177" i="3"/>
  <c r="V386" i="15" s="1"/>
  <c r="W386" i="15" s="1"/>
  <c r="G178" i="3"/>
  <c r="G179" i="3"/>
  <c r="W37" i="24" s="1"/>
  <c r="G180" i="3"/>
  <c r="G181" i="3"/>
  <c r="V153" i="14" s="1"/>
  <c r="W153" i="14" s="1"/>
  <c r="G182" i="3"/>
  <c r="G183" i="3"/>
  <c r="G184" i="3"/>
  <c r="G185" i="3"/>
  <c r="V451" i="15" s="1"/>
  <c r="W451" i="15" s="1"/>
  <c r="W461" i="15" s="1"/>
  <c r="G186" i="3"/>
  <c r="G187" i="3"/>
  <c r="G188" i="3"/>
  <c r="G189" i="3"/>
  <c r="V656" i="15" s="1"/>
  <c r="W656" i="15" s="1"/>
  <c r="G190" i="3"/>
  <c r="G191" i="3"/>
  <c r="G192" i="3"/>
  <c r="G193" i="3"/>
  <c r="G194" i="3"/>
  <c r="G195" i="3"/>
  <c r="V455" i="15" s="1"/>
  <c r="W455" i="15" s="1"/>
  <c r="G196" i="3"/>
  <c r="G197" i="3"/>
  <c r="G198" i="3"/>
  <c r="G199" i="3"/>
  <c r="G200" i="3"/>
  <c r="V200" i="14" s="1"/>
  <c r="W200" i="14" s="1"/>
  <c r="G201" i="3"/>
  <c r="V212" i="14" s="1"/>
  <c r="W212" i="14" s="1"/>
  <c r="G202" i="3"/>
  <c r="G203" i="3"/>
  <c r="G204" i="3"/>
  <c r="G205" i="3"/>
  <c r="V221" i="14" s="1"/>
  <c r="W221" i="14" s="1"/>
  <c r="G206" i="3"/>
  <c r="G207" i="3"/>
  <c r="G208" i="3"/>
  <c r="G209" i="3"/>
  <c r="G210" i="3"/>
  <c r="G211" i="3"/>
  <c r="G212" i="3"/>
  <c r="G213" i="3"/>
  <c r="W54" i="24" s="1"/>
  <c r="G214" i="3"/>
  <c r="V550" i="15" s="1"/>
  <c r="W550" i="15" s="1"/>
  <c r="G215" i="3"/>
  <c r="V218" i="14" s="1"/>
  <c r="W218" i="14" s="1"/>
  <c r="G216" i="3"/>
  <c r="G217" i="3"/>
  <c r="G218" i="3"/>
  <c r="G219" i="3"/>
  <c r="G220" i="3"/>
  <c r="G221" i="3"/>
  <c r="G222" i="3"/>
  <c r="G223" i="3"/>
  <c r="G224" i="3"/>
  <c r="V624" i="15" s="1"/>
  <c r="W624" i="15" s="1"/>
  <c r="G225" i="3"/>
  <c r="G226" i="3"/>
  <c r="V628" i="15" s="1"/>
  <c r="W628" i="15" s="1"/>
  <c r="G227" i="3"/>
  <c r="G228" i="3"/>
  <c r="G229" i="3"/>
  <c r="G232" i="3"/>
  <c r="G233" i="3"/>
  <c r="G234" i="3"/>
  <c r="G235" i="3"/>
  <c r="G236" i="3"/>
  <c r="G237" i="3"/>
  <c r="G238" i="3"/>
  <c r="G239" i="3"/>
  <c r="G240" i="3"/>
  <c r="V301" i="14" s="1"/>
  <c r="W301" i="14" s="1"/>
  <c r="G241" i="3"/>
  <c r="G242" i="3"/>
  <c r="G243" i="3"/>
  <c r="G244" i="3"/>
  <c r="G245" i="3"/>
  <c r="G246" i="3"/>
  <c r="G247" i="3"/>
  <c r="V634" i="15" s="1"/>
  <c r="W634" i="15" s="1"/>
  <c r="G248" i="3"/>
  <c r="G249" i="3"/>
  <c r="G250" i="3"/>
  <c r="G251" i="3"/>
  <c r="G252" i="3"/>
  <c r="G253" i="3"/>
  <c r="G254" i="3"/>
  <c r="G255" i="3"/>
  <c r="G256" i="3"/>
  <c r="V338" i="14" s="1"/>
  <c r="W338" i="14" s="1"/>
  <c r="G257" i="3"/>
  <c r="V62" i="24" s="1"/>
  <c r="W62" i="24" s="1"/>
  <c r="G258" i="3"/>
  <c r="G259" i="3"/>
  <c r="G260" i="3"/>
  <c r="G261" i="3"/>
  <c r="G262" i="3"/>
  <c r="V684" i="15" s="1"/>
  <c r="W684" i="15" s="1"/>
  <c r="G263" i="3"/>
  <c r="G264" i="3"/>
  <c r="V700" i="15" s="1"/>
  <c r="W700" i="15" s="1"/>
  <c r="W711" i="15" s="1"/>
  <c r="G265" i="3"/>
  <c r="V704" i="15" s="1"/>
  <c r="W704" i="15" s="1"/>
  <c r="G266" i="3"/>
  <c r="G267" i="3"/>
  <c r="G268" i="3"/>
  <c r="G269" i="3"/>
  <c r="G270" i="3"/>
  <c r="V760" i="15" s="1"/>
  <c r="W760" i="15" s="1"/>
  <c r="G271" i="3"/>
  <c r="G272" i="3"/>
  <c r="G273" i="3"/>
  <c r="G274" i="3"/>
  <c r="G275" i="3"/>
  <c r="G276" i="3"/>
  <c r="G277" i="3"/>
  <c r="G278" i="3"/>
  <c r="G279" i="3"/>
  <c r="V785" i="15" s="1"/>
  <c r="W785" i="15" s="1"/>
  <c r="G280" i="3"/>
  <c r="G281" i="3"/>
  <c r="G282" i="3"/>
  <c r="V814" i="15" s="1"/>
  <c r="W814" i="15" s="1"/>
  <c r="G283" i="3"/>
  <c r="G284" i="3"/>
  <c r="G285" i="3"/>
  <c r="G286" i="3"/>
  <c r="G287" i="3"/>
  <c r="G288" i="3"/>
  <c r="G289" i="3"/>
  <c r="V381" i="14" s="1"/>
  <c r="W381" i="14" s="1"/>
  <c r="G290" i="3"/>
  <c r="G291" i="3"/>
  <c r="G292" i="3"/>
  <c r="G293" i="3"/>
  <c r="G294" i="3"/>
  <c r="V359" i="14" s="1"/>
  <c r="W359" i="14" s="1"/>
  <c r="G295" i="3"/>
  <c r="V823" i="15" s="1"/>
  <c r="W823" i="15" s="1"/>
  <c r="G296" i="3"/>
  <c r="G297" i="3"/>
  <c r="G298" i="3"/>
  <c r="G299" i="3"/>
  <c r="G300" i="3"/>
  <c r="G301" i="3"/>
  <c r="G302" i="3"/>
  <c r="V843" i="15" s="1"/>
  <c r="W843" i="15" s="1"/>
  <c r="G303" i="3"/>
  <c r="G304" i="3"/>
  <c r="V370" i="14" s="1"/>
  <c r="W370" i="14" s="1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4" i="3"/>
  <c r="G5" i="3"/>
  <c r="G6" i="3"/>
  <c r="G7" i="3"/>
  <c r="G9" i="3"/>
  <c r="G10" i="3"/>
  <c r="V91" i="15" s="1"/>
  <c r="W91" i="15" s="1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V691" i="15" l="1"/>
  <c r="W691" i="15" s="1"/>
  <c r="V688" i="15"/>
  <c r="W688" i="15" s="1"/>
  <c r="V314" i="15"/>
  <c r="W314" i="15" s="1"/>
  <c r="V322" i="15"/>
  <c r="W322" i="15" s="1"/>
  <c r="V319" i="15"/>
  <c r="W319" i="15" s="1"/>
  <c r="V316" i="15"/>
  <c r="W316" i="15" s="1"/>
  <c r="V441" i="15"/>
  <c r="W441" i="15" s="1"/>
  <c r="V445" i="15"/>
  <c r="W445" i="15" s="1"/>
  <c r="V476" i="15"/>
  <c r="W476" i="15" s="1"/>
  <c r="V473" i="15"/>
  <c r="W473" i="15" s="1"/>
  <c r="V827" i="15"/>
  <c r="W827" i="15" s="1"/>
  <c r="V818" i="15"/>
  <c r="W818" i="15" s="1"/>
  <c r="W694" i="15"/>
  <c r="V259" i="14"/>
  <c r="W259" i="14" s="1"/>
  <c r="V254" i="14"/>
  <c r="W254" i="14" s="1"/>
  <c r="V289" i="14"/>
  <c r="W289" i="14" s="1"/>
  <c r="V284" i="14"/>
  <c r="W284" i="14" s="1"/>
  <c r="W631" i="15"/>
  <c r="V400" i="15"/>
  <c r="W400" i="15" s="1"/>
  <c r="V405" i="15"/>
  <c r="W405" i="15" s="1"/>
  <c r="V89" i="14"/>
  <c r="W89" i="14" s="1"/>
  <c r="V94" i="14"/>
  <c r="W94" i="14" s="1"/>
  <c r="V142" i="15"/>
  <c r="W142" i="15" s="1"/>
  <c r="V139" i="15"/>
  <c r="W139" i="15" s="1"/>
  <c r="V132" i="15"/>
  <c r="W132" i="15" s="1"/>
  <c r="V18" i="15"/>
  <c r="W18" i="15" s="1"/>
  <c r="V15" i="15"/>
  <c r="W15" i="15" s="1"/>
  <c r="V803" i="15"/>
  <c r="W803" i="15" s="1"/>
  <c r="V808" i="15"/>
  <c r="W808" i="15" s="1"/>
  <c r="V806" i="15"/>
  <c r="W806" i="15" s="1"/>
  <c r="V781" i="15"/>
  <c r="W781" i="15" s="1"/>
  <c r="V801" i="15"/>
  <c r="W801" i="15" s="1"/>
  <c r="V65" i="24"/>
  <c r="W65" i="24" s="1"/>
  <c r="V63" i="24"/>
  <c r="W63" i="24" s="1"/>
  <c r="V298" i="15"/>
  <c r="W298" i="15" s="1"/>
  <c r="W311" i="15" s="1"/>
  <c r="V303" i="15"/>
  <c r="W303" i="15" s="1"/>
  <c r="V307" i="15"/>
  <c r="W307" i="15" s="1"/>
  <c r="V26" i="15"/>
  <c r="W26" i="15" s="1"/>
  <c r="V23" i="15"/>
  <c r="W23" i="15" s="1"/>
  <c r="V767" i="15"/>
  <c r="W767" i="15" s="1"/>
  <c r="V758" i="15"/>
  <c r="W758" i="15" s="1"/>
  <c r="V770" i="15"/>
  <c r="W770" i="15" s="1"/>
  <c r="V754" i="15"/>
  <c r="W754" i="15" s="1"/>
  <c r="V740" i="15"/>
  <c r="W740" i="15" s="1"/>
  <c r="V748" i="15"/>
  <c r="W748" i="15" s="1"/>
  <c r="V194" i="14"/>
  <c r="W194" i="14" s="1"/>
  <c r="V198" i="14"/>
  <c r="W198" i="14" s="1"/>
  <c r="V645" i="15"/>
  <c r="W645" i="15" s="1"/>
  <c r="V638" i="15"/>
  <c r="W638" i="15" s="1"/>
  <c r="V648" i="15"/>
  <c r="W648" i="15" s="1"/>
  <c r="V640" i="15"/>
  <c r="W640" i="15" s="1"/>
  <c r="W654" i="15" s="1"/>
  <c r="V508" i="15"/>
  <c r="W508" i="15" s="1"/>
  <c r="V490" i="15"/>
  <c r="W490" i="15" s="1"/>
  <c r="V118" i="15"/>
  <c r="W118" i="15" s="1"/>
  <c r="V121" i="15"/>
  <c r="W121" i="15" s="1"/>
  <c r="V146" i="15"/>
  <c r="W146" i="15" s="1"/>
  <c r="V151" i="15"/>
  <c r="W151" i="15" s="1"/>
  <c r="V436" i="15"/>
  <c r="W436" i="15" s="1"/>
  <c r="V433" i="15"/>
  <c r="W433" i="15" s="1"/>
  <c r="V224" i="14"/>
  <c r="W224" i="14" s="1"/>
  <c r="V229" i="14"/>
  <c r="W229" i="14" s="1"/>
  <c r="V836" i="15"/>
  <c r="W836" i="15" s="1"/>
  <c r="V858" i="15"/>
  <c r="W858" i="15" s="1"/>
  <c r="V789" i="15"/>
  <c r="W789" i="15" s="1"/>
  <c r="V798" i="15"/>
  <c r="W798" i="15" s="1"/>
  <c r="V553" i="15"/>
  <c r="W553" i="15" s="1"/>
  <c r="V557" i="15"/>
  <c r="W557" i="15" s="1"/>
  <c r="V734" i="15"/>
  <c r="W734" i="15" s="1"/>
  <c r="V746" i="15"/>
  <c r="W746" i="15" s="1"/>
  <c r="V738" i="15"/>
  <c r="W738" i="15" s="1"/>
  <c r="V483" i="15"/>
  <c r="W483" i="15" s="1"/>
  <c r="V480" i="15"/>
  <c r="W480" i="15" s="1"/>
  <c r="V493" i="15"/>
  <c r="W493" i="15" s="1"/>
  <c r="V497" i="15"/>
  <c r="W497" i="15" s="1"/>
  <c r="V502" i="15"/>
  <c r="W502" i="15" s="1"/>
  <c r="V178" i="14"/>
  <c r="W178" i="14" s="1"/>
  <c r="V181" i="14"/>
  <c r="W181" i="14" s="1"/>
  <c r="V418" i="15"/>
  <c r="W418" i="15" s="1"/>
  <c r="V426" i="15"/>
  <c r="W426" i="15" s="1"/>
  <c r="V665" i="15"/>
  <c r="W665" i="15" s="1"/>
  <c r="V663" i="15"/>
  <c r="W663" i="15" s="1"/>
  <c r="V671" i="15"/>
  <c r="W671" i="15" s="1"/>
  <c r="V668" i="15"/>
  <c r="W668" i="15" s="1"/>
  <c r="V413" i="15"/>
  <c r="W413" i="15" s="1"/>
  <c r="V390" i="15"/>
  <c r="W390" i="15" s="1"/>
  <c r="V394" i="15"/>
  <c r="W394" i="15" s="1"/>
  <c r="V410" i="15"/>
  <c r="W410" i="15" s="1"/>
  <c r="V231" i="15"/>
  <c r="W231" i="15" s="1"/>
  <c r="V239" i="15"/>
  <c r="W239" i="15" s="1"/>
  <c r="V228" i="15"/>
  <c r="W228" i="15" s="1"/>
  <c r="V233" i="15"/>
  <c r="W233" i="15" s="1"/>
  <c r="V126" i="15"/>
  <c r="W126" i="15" s="1"/>
  <c r="V123" i="15"/>
  <c r="W123" i="15" s="1"/>
  <c r="V98" i="15"/>
  <c r="W98" i="15" s="1"/>
  <c r="V96" i="15"/>
  <c r="W96" i="15" s="1"/>
  <c r="V100" i="15"/>
  <c r="W100" i="15" s="1"/>
  <c r="V108" i="15"/>
  <c r="W108" i="15" s="1"/>
  <c r="V105" i="15"/>
  <c r="W105" i="15" s="1"/>
  <c r="V93" i="15"/>
  <c r="W93" i="15" s="1"/>
  <c r="V380" i="15"/>
  <c r="W380" i="15" s="1"/>
  <c r="V382" i="15"/>
  <c r="W382" i="15" s="1"/>
  <c r="V374" i="15"/>
  <c r="W374" i="15" s="1"/>
  <c r="V262" i="15"/>
  <c r="W262" i="15" s="1"/>
  <c r="V266" i="15"/>
  <c r="W266" i="15" s="1"/>
  <c r="V275" i="15"/>
  <c r="W275" i="15" s="1"/>
  <c r="V256" i="15"/>
  <c r="W256" i="15" s="1"/>
  <c r="V272" i="15"/>
  <c r="W272" i="15" s="1"/>
  <c r="V265" i="15"/>
  <c r="W265" i="15" s="1"/>
  <c r="V249" i="15"/>
  <c r="W249" i="15" s="1"/>
  <c r="V253" i="15"/>
  <c r="W253" i="15" s="1"/>
  <c r="V269" i="15"/>
  <c r="W269" i="15" s="1"/>
  <c r="W561" i="15" l="1"/>
  <c r="W862" i="15"/>
  <c r="W673" i="15"/>
  <c r="W136" i="15"/>
  <c r="W832" i="15"/>
  <c r="W103" i="15"/>
  <c r="W775" i="15"/>
  <c r="W756" i="15"/>
  <c r="W377" i="15"/>
  <c r="W811" i="15"/>
  <c r="W511" i="15"/>
  <c r="W325" i="15"/>
  <c r="W236" i="15"/>
  <c r="W448" i="15"/>
  <c r="W736" i="15"/>
  <c r="W154" i="15"/>
  <c r="W487" i="15"/>
  <c r="W281" i="15"/>
  <c r="W397" i="15"/>
  <c r="W258" i="15"/>
  <c r="M5" i="6"/>
  <c r="W793" i="15"/>
  <c r="W28" i="15"/>
  <c r="W423" i="15"/>
  <c r="C34" i="6"/>
  <c r="C115" i="4" l="1"/>
  <c r="J152" i="4"/>
  <c r="N51" i="4" l="1"/>
  <c r="L51" i="4"/>
  <c r="K51" i="4"/>
  <c r="L50" i="4"/>
  <c r="K50" i="4"/>
  <c r="G2" i="3" l="1"/>
  <c r="C101" i="4"/>
  <c r="G44" i="4"/>
  <c r="E26" i="4"/>
  <c r="N137" i="4"/>
  <c r="N136" i="4"/>
  <c r="L132" i="4"/>
  <c r="L133" i="4" s="1"/>
  <c r="V367" i="14" l="1"/>
  <c r="W367" i="14" s="1"/>
  <c r="V371" i="14"/>
  <c r="V376" i="14"/>
  <c r="W376" i="14" s="1"/>
  <c r="V385" i="14"/>
  <c r="W385" i="14" s="1"/>
  <c r="V23" i="14"/>
  <c r="W23" i="14" s="1"/>
  <c r="V28" i="14"/>
  <c r="W28" i="14" s="1"/>
  <c r="V368" i="14"/>
  <c r="W368" i="14" s="1"/>
  <c r="V377" i="14"/>
  <c r="V24" i="14"/>
  <c r="W24" i="14" s="1"/>
  <c r="V40" i="14"/>
  <c r="W40" i="14" s="1"/>
  <c r="V57" i="14"/>
  <c r="W57" i="14" s="1"/>
  <c r="V85" i="14"/>
  <c r="W85" i="14" s="1"/>
  <c r="V93" i="14"/>
  <c r="W93" i="14" s="1"/>
  <c r="V369" i="14"/>
  <c r="W369" i="14" s="1"/>
  <c r="V374" i="14"/>
  <c r="V379" i="14"/>
  <c r="W379" i="14" s="1"/>
  <c r="V383" i="14"/>
  <c r="W383" i="14" s="1"/>
  <c r="V21" i="14"/>
  <c r="W21" i="14" s="1"/>
  <c r="V31" i="14"/>
  <c r="W31" i="14" s="1"/>
  <c r="V36" i="14"/>
  <c r="W36" i="14" s="1"/>
  <c r="V41" i="14"/>
  <c r="W41" i="14" s="1"/>
  <c r="V53" i="14"/>
  <c r="V58" i="14"/>
  <c r="W58" i="14" s="1"/>
  <c r="V73" i="14"/>
  <c r="V380" i="14"/>
  <c r="W380" i="14" s="1"/>
  <c r="V384" i="14"/>
  <c r="V32" i="14"/>
  <c r="W32" i="14" s="1"/>
  <c r="V37" i="14"/>
  <c r="W37" i="14" s="1"/>
  <c r="V54" i="14"/>
  <c r="W54" i="14" s="1"/>
  <c r="V59" i="14"/>
  <c r="W59" i="14" s="1"/>
  <c r="V78" i="14"/>
  <c r="V87" i="14"/>
  <c r="W87" i="14" s="1"/>
  <c r="V91" i="14"/>
  <c r="W91" i="14" s="1"/>
  <c r="V51" i="14"/>
  <c r="V77" i="14"/>
  <c r="W77" i="14" s="1"/>
  <c r="W82" i="14" s="1"/>
  <c r="V96" i="14"/>
  <c r="W96" i="14" s="1"/>
  <c r="V104" i="14"/>
  <c r="V122" i="14"/>
  <c r="V136" i="14"/>
  <c r="W136" i="14" s="1"/>
  <c r="V141" i="14"/>
  <c r="W141" i="14" s="1"/>
  <c r="V149" i="14"/>
  <c r="W149" i="14" s="1"/>
  <c r="V162" i="14"/>
  <c r="W162" i="14" s="1"/>
  <c r="V167" i="14"/>
  <c r="W167" i="14" s="1"/>
  <c r="V171" i="14"/>
  <c r="V175" i="14"/>
  <c r="W175" i="14" s="1"/>
  <c r="V183" i="14"/>
  <c r="W183" i="14" s="1"/>
  <c r="V187" i="14"/>
  <c r="W187" i="14" s="1"/>
  <c r="V195" i="14"/>
  <c r="W195" i="14" s="1"/>
  <c r="V211" i="14"/>
  <c r="W211" i="14" s="1"/>
  <c r="V219" i="14"/>
  <c r="V223" i="14"/>
  <c r="W223" i="14" s="1"/>
  <c r="V227" i="14"/>
  <c r="W227" i="14" s="1"/>
  <c r="V231" i="14"/>
  <c r="W231" i="14" s="1"/>
  <c r="V235" i="14"/>
  <c r="W235" i="14" s="1"/>
  <c r="V240" i="14"/>
  <c r="W240" i="14" s="1"/>
  <c r="V245" i="14"/>
  <c r="W245" i="14" s="1"/>
  <c r="V250" i="14"/>
  <c r="W250" i="14" s="1"/>
  <c r="V268" i="14"/>
  <c r="W268" i="14" s="1"/>
  <c r="V273" i="14"/>
  <c r="W273" i="14" s="1"/>
  <c r="V278" i="14"/>
  <c r="W278" i="14" s="1"/>
  <c r="V282" i="14"/>
  <c r="W282" i="14" s="1"/>
  <c r="V286" i="14"/>
  <c r="W286" i="14" s="1"/>
  <c r="V295" i="14"/>
  <c r="W295" i="14" s="1"/>
  <c r="V300" i="14"/>
  <c r="W300" i="14" s="1"/>
  <c r="V304" i="14"/>
  <c r="W304" i="14" s="1"/>
  <c r="V314" i="14"/>
  <c r="V337" i="14"/>
  <c r="V349" i="14"/>
  <c r="V110" i="14"/>
  <c r="W110" i="14" s="1"/>
  <c r="V115" i="14"/>
  <c r="W115" i="14" s="1"/>
  <c r="V119" i="14"/>
  <c r="V133" i="14"/>
  <c r="W133" i="14" s="1"/>
  <c r="V138" i="14"/>
  <c r="V142" i="14"/>
  <c r="W142" i="14" s="1"/>
  <c r="V150" i="14"/>
  <c r="V158" i="14"/>
  <c r="W158" i="14" s="1"/>
  <c r="V163" i="14"/>
  <c r="W163" i="14" s="1"/>
  <c r="V168" i="14"/>
  <c r="V172" i="14"/>
  <c r="W172" i="14" s="1"/>
  <c r="V176" i="14"/>
  <c r="W176" i="14" s="1"/>
  <c r="V188" i="14"/>
  <c r="W188" i="14" s="1"/>
  <c r="V192" i="14"/>
  <c r="W192" i="14" s="1"/>
  <c r="V208" i="14"/>
  <c r="W208" i="14" s="1"/>
  <c r="W216" i="14" s="1"/>
  <c r="V228" i="14"/>
  <c r="W228" i="14" s="1"/>
  <c r="V232" i="14"/>
  <c r="W232" i="14" s="1"/>
  <c r="V236" i="14"/>
  <c r="W236" i="14" s="1"/>
  <c r="V241" i="14"/>
  <c r="W241" i="14" s="1"/>
  <c r="V256" i="14"/>
  <c r="W256" i="14" s="1"/>
  <c r="V260" i="14"/>
  <c r="W260" i="14" s="1"/>
  <c r="V264" i="14"/>
  <c r="W264" i="14" s="1"/>
  <c r="V269" i="14"/>
  <c r="W269" i="14" s="1"/>
  <c r="V274" i="14"/>
  <c r="W274" i="14" s="1"/>
  <c r="V283" i="14"/>
  <c r="W283" i="14" s="1"/>
  <c r="V291" i="14"/>
  <c r="W291" i="14" s="1"/>
  <c r="V296" i="14"/>
  <c r="W296" i="14" s="1"/>
  <c r="V315" i="14"/>
  <c r="W315" i="14" s="1"/>
  <c r="V320" i="14"/>
  <c r="W320" i="14" s="1"/>
  <c r="V325" i="14"/>
  <c r="W325" i="14" s="1"/>
  <c r="V350" i="14"/>
  <c r="W350" i="14" s="1"/>
  <c r="V60" i="14"/>
  <c r="W60" i="14" s="1"/>
  <c r="V71" i="14"/>
  <c r="W71" i="14" s="1"/>
  <c r="W74" i="14" s="1"/>
  <c r="V103" i="14"/>
  <c r="V112" i="14"/>
  <c r="W112" i="14" s="1"/>
  <c r="V126" i="14"/>
  <c r="W126" i="14" s="1"/>
  <c r="V140" i="14"/>
  <c r="W140" i="14" s="1"/>
  <c r="V152" i="14"/>
  <c r="W152" i="14" s="1"/>
  <c r="V161" i="14"/>
  <c r="W161" i="14" s="1"/>
  <c r="V170" i="14"/>
  <c r="W170" i="14" s="1"/>
  <c r="V226" i="14"/>
  <c r="W226" i="14" s="1"/>
  <c r="V262" i="14"/>
  <c r="V281" i="14"/>
  <c r="W281" i="14" s="1"/>
  <c r="V313" i="14"/>
  <c r="W313" i="14" s="1"/>
  <c r="V336" i="14"/>
  <c r="W336" i="14" s="1"/>
  <c r="V361" i="14"/>
  <c r="W361" i="14" s="1"/>
  <c r="V324" i="14"/>
  <c r="W324" i="14" s="1"/>
  <c r="V106" i="14"/>
  <c r="W106" i="14" s="1"/>
  <c r="V111" i="14"/>
  <c r="W111" i="14" s="1"/>
  <c r="V125" i="14"/>
  <c r="W125" i="14" s="1"/>
  <c r="V130" i="14"/>
  <c r="W130" i="14" s="1"/>
  <c r="W134" i="14" s="1"/>
  <c r="V151" i="14"/>
  <c r="W151" i="14" s="1"/>
  <c r="V177" i="14"/>
  <c r="W177" i="14" s="1"/>
  <c r="V185" i="14"/>
  <c r="W185" i="14" s="1"/>
  <c r="V193" i="14"/>
  <c r="W193" i="14" s="1"/>
  <c r="V197" i="14"/>
  <c r="W197" i="14" s="1"/>
  <c r="W203" i="14" s="1"/>
  <c r="V209" i="14"/>
  <c r="W209" i="14" s="1"/>
  <c r="V213" i="14"/>
  <c r="W213" i="14" s="1"/>
  <c r="V217" i="14"/>
  <c r="W217" i="14" s="1"/>
  <c r="W233" i="14" s="1"/>
  <c r="V253" i="14"/>
  <c r="W253" i="14" s="1"/>
  <c r="V265" i="14"/>
  <c r="W265" i="14" s="1"/>
  <c r="V280" i="14"/>
  <c r="W280" i="14" s="1"/>
  <c r="V288" i="14"/>
  <c r="W288" i="14" s="1"/>
  <c r="V292" i="14"/>
  <c r="W292" i="14" s="1"/>
  <c r="V306" i="14"/>
  <c r="W306" i="14" s="1"/>
  <c r="V312" i="14"/>
  <c r="W312" i="14" s="1"/>
  <c r="V321" i="14"/>
  <c r="V66" i="14"/>
  <c r="W66" i="14" s="1"/>
  <c r="V88" i="14"/>
  <c r="W88" i="14" s="1"/>
  <c r="V107" i="14"/>
  <c r="W107" i="14" s="1"/>
  <c r="V121" i="14"/>
  <c r="W121" i="14" s="1"/>
  <c r="W129" i="14" s="1"/>
  <c r="V135" i="14"/>
  <c r="W135" i="14" s="1"/>
  <c r="V186" i="14"/>
  <c r="W186" i="14" s="1"/>
  <c r="V210" i="14"/>
  <c r="V234" i="14"/>
  <c r="W234" i="14" s="1"/>
  <c r="W244" i="14" s="1"/>
  <c r="V249" i="14"/>
  <c r="W249" i="14" s="1"/>
  <c r="V258" i="14"/>
  <c r="W258" i="14" s="1"/>
  <c r="W263" i="14" s="1"/>
  <c r="V277" i="14"/>
  <c r="W277" i="14" s="1"/>
  <c r="V299" i="14"/>
  <c r="W299" i="14" s="1"/>
  <c r="V307" i="14"/>
  <c r="W307" i="14" s="1"/>
  <c r="V318" i="14"/>
  <c r="V328" i="14"/>
  <c r="W328" i="14" s="1"/>
  <c r="V340" i="14"/>
  <c r="W340" i="14" s="1"/>
  <c r="V348" i="14"/>
  <c r="W348" i="14" s="1"/>
  <c r="V357" i="14"/>
  <c r="W357" i="14" s="1"/>
  <c r="W363" i="14" s="1"/>
  <c r="V358" i="14"/>
  <c r="W358" i="14" s="1"/>
  <c r="D7" i="6"/>
  <c r="D5" i="6"/>
  <c r="C188" i="4"/>
  <c r="W27" i="14" l="1"/>
  <c r="W287" i="14"/>
  <c r="W196" i="14"/>
  <c r="W279" i="14"/>
  <c r="W386" i="14"/>
  <c r="W319" i="14"/>
  <c r="W342" i="14"/>
  <c r="W329" i="14"/>
  <c r="W157" i="14"/>
  <c r="W68" i="14"/>
  <c r="W98" i="14"/>
  <c r="W35" i="14"/>
  <c r="W305" i="14"/>
  <c r="W354" i="14"/>
  <c r="W146" i="14"/>
  <c r="W117" i="14"/>
  <c r="W184" i="14"/>
  <c r="W169" i="14"/>
  <c r="W257" i="14"/>
  <c r="W43" i="14"/>
  <c r="W92" i="14"/>
  <c r="W22" i="14"/>
  <c r="E5" i="6" s="1"/>
  <c r="G5" i="6" s="1"/>
  <c r="P6" i="6"/>
  <c r="J16" i="6"/>
  <c r="J11" i="6"/>
  <c r="J17" i="6"/>
  <c r="J15" i="6"/>
  <c r="G34" i="6" l="1"/>
  <c r="C114" i="4" l="1"/>
  <c r="C113" i="4"/>
  <c r="C100" i="4" l="1"/>
  <c r="C102" i="4"/>
  <c r="C103" i="4"/>
  <c r="C88" i="4"/>
  <c r="C89" i="4"/>
  <c r="C90" i="4"/>
  <c r="C91" i="4"/>
  <c r="C92" i="4"/>
  <c r="C93" i="4"/>
  <c r="C94" i="4"/>
  <c r="C95" i="4"/>
  <c r="C96" i="4"/>
  <c r="C97" i="4"/>
  <c r="C98" i="4"/>
  <c r="C99" i="4"/>
  <c r="C87" i="4"/>
  <c r="C82" i="4"/>
  <c r="C110" i="4" l="1"/>
  <c r="C106" i="4"/>
  <c r="C76" i="4"/>
  <c r="C63" i="4" l="1"/>
  <c r="C59" i="4"/>
  <c r="C56" i="4"/>
  <c r="C43" i="4"/>
  <c r="P7" i="6" l="1"/>
  <c r="R34" i="6"/>
  <c r="O34" i="6"/>
  <c r="U34" i="6"/>
  <c r="I34" i="6"/>
  <c r="C63" i="1"/>
  <c r="C39" i="1"/>
  <c r="C36" i="1"/>
  <c r="C33" i="1"/>
  <c r="C30" i="1"/>
  <c r="C21" i="1"/>
  <c r="C14" i="1"/>
  <c r="V34" i="6" l="1"/>
  <c r="S34" i="6" l="1"/>
  <c r="J34" i="6"/>
  <c r="P34" i="6" l="1"/>
  <c r="M34" i="6"/>
</calcChain>
</file>

<file path=xl/sharedStrings.xml><?xml version="1.0" encoding="utf-8"?>
<sst xmlns="http://schemas.openxmlformats.org/spreadsheetml/2006/main" count="4164" uniqueCount="706">
  <si>
    <t>Время</t>
  </si>
  <si>
    <t>Пересменка</t>
  </si>
  <si>
    <t>Замывка машины 30 мин</t>
  </si>
  <si>
    <t>Смывка 1 секции</t>
  </si>
  <si>
    <t>Смывка 2 секций</t>
  </si>
  <si>
    <t>Смывка 3 секций</t>
  </si>
  <si>
    <t>Смывка 4 секций</t>
  </si>
  <si>
    <t>Хоз работы 1:1</t>
  </si>
  <si>
    <t>Раскатка машины 30 мин</t>
  </si>
  <si>
    <t>Обед</t>
  </si>
  <si>
    <t>ППР (ТО) 1:1</t>
  </si>
  <si>
    <t>печать</t>
  </si>
  <si>
    <t>холодный запуск</t>
  </si>
  <si>
    <t>замес пантона</t>
  </si>
  <si>
    <t>KBA</t>
  </si>
  <si>
    <t>приладка каталог</t>
  </si>
  <si>
    <t xml:space="preserve">Смывка 2 секций </t>
  </si>
  <si>
    <t>смывка 3 секции</t>
  </si>
  <si>
    <t xml:space="preserve">Смывка 4 секций </t>
  </si>
  <si>
    <t>печать свой оборот (прил+тираж+20 мин переворот+тираж)</t>
  </si>
  <si>
    <t xml:space="preserve">холодный запуск </t>
  </si>
  <si>
    <t>Ожидание форм 1:0,7</t>
  </si>
  <si>
    <t xml:space="preserve">Пересменка </t>
  </si>
  <si>
    <t xml:space="preserve">Обед </t>
  </si>
  <si>
    <t>Работа по цветопробе +50% к приладке</t>
  </si>
  <si>
    <t>Подсыхогие оборота 40 мин</t>
  </si>
  <si>
    <t>Заказчик на приладке  (=1 приладка)</t>
  </si>
  <si>
    <t>Ожидание заказчика 1:0,7</t>
  </si>
  <si>
    <t>Норма балов по времени 1:1</t>
  </si>
  <si>
    <t>Порезка резины ВД лаковой секции</t>
  </si>
  <si>
    <t>практика</t>
  </si>
  <si>
    <t>смывка 1 секции</t>
  </si>
  <si>
    <t xml:space="preserve">Practica холодный запуск </t>
  </si>
  <si>
    <t>Ожидание бумаги 1:0,7</t>
  </si>
  <si>
    <t xml:space="preserve">Practica смывка </t>
  </si>
  <si>
    <t>картон целюлоз беж об</t>
  </si>
  <si>
    <t>Андрей Слисарук</t>
  </si>
  <si>
    <t>Доценко Павел</t>
  </si>
  <si>
    <t>Офсетная</t>
  </si>
  <si>
    <t>самоклейка</t>
  </si>
  <si>
    <t>картон целюлоз бел об</t>
  </si>
  <si>
    <t>мелованная глянцевая (Китай)</t>
  </si>
  <si>
    <t>Крафт картон целюлозный</t>
  </si>
  <si>
    <t>Номер</t>
  </si>
  <si>
    <t>Категория</t>
  </si>
  <si>
    <t>Вид</t>
  </si>
  <si>
    <t>На тираж</t>
  </si>
  <si>
    <t>Плотн</t>
  </si>
  <si>
    <t>мелованная матовая (Китай)</t>
  </si>
  <si>
    <t>микрогофро 2сл бурый 300гр/м2</t>
  </si>
  <si>
    <t>дизайнерская</t>
  </si>
  <si>
    <t>микрогофро 3 сл бурый 300гр/м2</t>
  </si>
  <si>
    <t>пластик для окошек 150 мкн (200гр)</t>
  </si>
  <si>
    <t>картон целюлоз двухсторонний</t>
  </si>
  <si>
    <t>Код</t>
  </si>
  <si>
    <t>Имя</t>
  </si>
  <si>
    <t>мел+офсет</t>
  </si>
  <si>
    <t>картон от 270</t>
  </si>
  <si>
    <t>фаворит ч/б</t>
  </si>
  <si>
    <t>практика ч/б</t>
  </si>
  <si>
    <t>картон до 250</t>
  </si>
  <si>
    <t>каталог</t>
  </si>
  <si>
    <t xml:space="preserve">лак </t>
  </si>
  <si>
    <t>Баллы</t>
  </si>
  <si>
    <t>Вид работы</t>
  </si>
  <si>
    <t>Норма мин</t>
  </si>
  <si>
    <t>Холодный запуск</t>
  </si>
  <si>
    <t>Приладка</t>
  </si>
  <si>
    <t>Хоз.работы,ТО,ППР</t>
  </si>
  <si>
    <t>Заказчик на приладке</t>
  </si>
  <si>
    <t xml:space="preserve">Работа по цветопробе </t>
  </si>
  <si>
    <t>Замес пантона</t>
  </si>
  <si>
    <t>Ожидание форм</t>
  </si>
  <si>
    <t>Favorit</t>
  </si>
  <si>
    <t>Час</t>
  </si>
  <si>
    <t>Всього</t>
  </si>
  <si>
    <t xml:space="preserve">Валерий Петрушенко </t>
  </si>
  <si>
    <t>Александр Саминин</t>
  </si>
  <si>
    <t>Диденко Олег</t>
  </si>
  <si>
    <t>Борис Колач</t>
  </si>
  <si>
    <t>Высечка В2</t>
  </si>
  <si>
    <t>Высечка В3 (пластик,гофро,пере</t>
  </si>
  <si>
    <t>Биговка В3 1биг</t>
  </si>
  <si>
    <t>Высечка В2 (пластик,гофро,пере</t>
  </si>
  <si>
    <t>Высечка В3</t>
  </si>
  <si>
    <t>Высечка А2</t>
  </si>
  <si>
    <t>Высечка А3</t>
  </si>
  <si>
    <t>Высечка В2 (офсет до 170гр, мел до 170гр)</t>
  </si>
  <si>
    <t>Высечка В3 с выборкой, порезкой</t>
  </si>
  <si>
    <t>Высечка В3 с выборкой, порезкой гофро</t>
  </si>
  <si>
    <t>высечка bobst</t>
  </si>
  <si>
    <t>перфорация А2 1 нож</t>
  </si>
  <si>
    <t>перфорация А2 до 4 ножей</t>
  </si>
  <si>
    <t>перфорация А3 1 нож</t>
  </si>
  <si>
    <t>перфорация А3 до 4 ножей</t>
  </si>
  <si>
    <t>Биговка А2 1 нож</t>
  </si>
  <si>
    <t>Биговка А2 до 4 бигов</t>
  </si>
  <si>
    <t>Биговка А3 1биг</t>
  </si>
  <si>
    <t>Биговка А3 до 4 ножей</t>
  </si>
  <si>
    <t>Тиснение фольгой до 10 клише</t>
  </si>
  <si>
    <t>Тиснение фольгой свыше 10 клише</t>
  </si>
  <si>
    <t>конгрев до 2 клише</t>
  </si>
  <si>
    <t>конгрев до 5 клише</t>
  </si>
  <si>
    <t>конгрев до 10 клише</t>
  </si>
  <si>
    <t>конгрев свыше 10 клише</t>
  </si>
  <si>
    <t>тиснение  до 2 клише Обл 7бц, коробок кашированных</t>
  </si>
  <si>
    <t>Биговка В2 до 4 бигов</t>
  </si>
  <si>
    <t>Тиснение фольгой до 2 клише</t>
  </si>
  <si>
    <t>Биговка В3 до 4 бигов</t>
  </si>
  <si>
    <t>Биговка В2 1 биг</t>
  </si>
  <si>
    <t>тиснение  до 10  клише Обл 7бц, коробок кашированных</t>
  </si>
  <si>
    <t>Фальцовка ? покл. кор. (до 50см)1 точка</t>
  </si>
  <si>
    <t>Фальцовка ? покл. кор.(до 14см)3 точки бол</t>
  </si>
  <si>
    <t>Фальцовка A4 покл. кор.(до 15см)1 точка</t>
  </si>
  <si>
    <t>Фальцовка ? покл. кор.(до 25см)1 точка</t>
  </si>
  <si>
    <t>Фальцовка ? покл. кор.2 точки (картошка) б</t>
  </si>
  <si>
    <t>выполненная работа</t>
  </si>
  <si>
    <t>приладка мин</t>
  </si>
  <si>
    <t>Баллы за приладку</t>
  </si>
  <si>
    <t>за 60 мин</t>
  </si>
  <si>
    <t>баллы</t>
  </si>
  <si>
    <t>1 фальц</t>
  </si>
  <si>
    <t>2 фальца</t>
  </si>
  <si>
    <t>4 фальца</t>
  </si>
  <si>
    <t>поклейка коробок 1т до 15см</t>
  </si>
  <si>
    <t>поклейка коробок 1т до 25см</t>
  </si>
  <si>
    <t>поклейка коробок 1т до 50см</t>
  </si>
  <si>
    <t>поклейка коробок 3т до 14см боковой клапан</t>
  </si>
  <si>
    <t>поклейка коробок 3т до 30см боковой клапан</t>
  </si>
  <si>
    <t>поклейка коробок 2т (картошка)</t>
  </si>
  <si>
    <t>сбора стаканов 0,7л</t>
  </si>
  <si>
    <t>сбора стаканов 1,4л</t>
  </si>
  <si>
    <t>сбора стаканов 2,5л</t>
  </si>
  <si>
    <t>сбора стаканов 4,0л</t>
  </si>
  <si>
    <t>Поклейка Оптимы</t>
  </si>
  <si>
    <t>Фальцовка ? покл. кор. (до 25см)1 точка бо</t>
  </si>
  <si>
    <t>лапшакап 0,7</t>
  </si>
  <si>
    <t>Ламинирование А2 глян 1+0</t>
  </si>
  <si>
    <t>Ламинирование А2 мат. 1+1</t>
  </si>
  <si>
    <t>Ламинирование B2 мат 1+1</t>
  </si>
  <si>
    <t>Ламинирование B2 глян 1+0</t>
  </si>
  <si>
    <t>Ламинирование B2 мат более 1+0</t>
  </si>
  <si>
    <t>Ламинирование B2 мат 1+0</t>
  </si>
  <si>
    <t>Ламинирование А2 мат. 1+0</t>
  </si>
  <si>
    <t>Ламинирование гофро А2 глян  0+1</t>
  </si>
  <si>
    <t>Ламинирование А3 мат. 1+0</t>
  </si>
  <si>
    <t>ламинация А2</t>
  </si>
  <si>
    <t>ламинация А3</t>
  </si>
  <si>
    <t>Ламинирование А2 глян более 1+1</t>
  </si>
  <si>
    <t>газетная пухлая</t>
  </si>
  <si>
    <t>Начало</t>
  </si>
  <si>
    <t>Завершение</t>
  </si>
  <si>
    <t>Длит.</t>
  </si>
  <si>
    <t>№ заказа</t>
  </si>
  <si>
    <t>Заказчик</t>
  </si>
  <si>
    <t>Наименование</t>
  </si>
  <si>
    <t>Часть</t>
  </si>
  <si>
    <t>Сдача</t>
  </si>
  <si>
    <t>Заказ чик</t>
  </si>
  <si>
    <t>Цвет</t>
  </si>
  <si>
    <t>Пан тон</t>
  </si>
  <si>
    <t>Лак</t>
  </si>
  <si>
    <t>Бумага</t>
  </si>
  <si>
    <t>г/м2</t>
  </si>
  <si>
    <t>Формат</t>
  </si>
  <si>
    <t>Налич. Бумаги</t>
  </si>
  <si>
    <t>Отпеча тать</t>
  </si>
  <si>
    <t>Выдать</t>
  </si>
  <si>
    <t>Суб подряд</t>
  </si>
  <si>
    <t>Исполнитель</t>
  </si>
  <si>
    <t>Замывка резин 15 мин</t>
  </si>
  <si>
    <t>Запуск ВД лаковой секции</t>
  </si>
  <si>
    <t>Смывка ВД лаковой секции</t>
  </si>
  <si>
    <t>Фальцовка ? 1 фальц+1 поперечный (более)</t>
  </si>
  <si>
    <t>Фальцовка ? 1 фальц+1 поперечный</t>
  </si>
  <si>
    <t>Фальцовка A2 покл. кор.(до 15см)1 точка</t>
  </si>
  <si>
    <t>Фальцовка ? Поклейка скотча до 15 см</t>
  </si>
  <si>
    <t>Фальцовка ? поклейка 2 точки Оптима</t>
  </si>
  <si>
    <t>Ламинирование B3 глян 1+0</t>
  </si>
  <si>
    <t>*Брошюровка (до 8 лотков)</t>
  </si>
  <si>
    <t>Подборка без скобы (до 8 лотко</t>
  </si>
  <si>
    <t>Брошюровка  более  (до 8 лотко</t>
  </si>
  <si>
    <t>комплектовка от2-5 подборов</t>
  </si>
  <si>
    <t>Брошюровка</t>
  </si>
  <si>
    <t>Листоподбор</t>
  </si>
  <si>
    <t>Шитье на нитку брошюрока</t>
  </si>
  <si>
    <t>Поклейка скотча до 15 см 3600 в час</t>
  </si>
  <si>
    <t>Поклейка скотча до 25 см 2500 в час</t>
  </si>
  <si>
    <t>Поклейка скотча до 50 см 1800 в час</t>
  </si>
  <si>
    <t>Покл коробок 3 т до 20 см 1600 в час</t>
  </si>
  <si>
    <t>Смывка 1 секции без кипсеек</t>
  </si>
  <si>
    <t>Фальцовка ? 1 фальц более</t>
  </si>
  <si>
    <t>Фальцовка ? 1 фальц</t>
  </si>
  <si>
    <t>Фальцовка ? 2 фальца</t>
  </si>
  <si>
    <t>Фальцовка ? Сборка стаканов 1,4л (более)</t>
  </si>
  <si>
    <t>Фальцовка ? Сборка стаканов 0,7л</t>
  </si>
  <si>
    <t>Фальцовка ? Сборка стаканов 1,4л</t>
  </si>
  <si>
    <t>Фальцовка ? Сборка стаканов 2,5л (более)</t>
  </si>
  <si>
    <t>Фальцовка ? Сборка стаканов 2,5л</t>
  </si>
  <si>
    <t>Высечка В2 более</t>
  </si>
  <si>
    <t>Высечка В2 гофро</t>
  </si>
  <si>
    <t>тиснение фольгой до 5 клише</t>
  </si>
  <si>
    <t>Ламинирование лам  А2 BOPP 30 мкм глянц 0+1</t>
  </si>
  <si>
    <t>Ламинирование лам В2 BOPP 30 мкм глянц 1+0</t>
  </si>
  <si>
    <t>Ламинирование лам В2 BOPP 30 мкм глянц 0+1</t>
  </si>
  <si>
    <t xml:space="preserve">Замывка резин 15 мин </t>
  </si>
  <si>
    <t>Картон макулатурный Nikoprint</t>
  </si>
  <si>
    <t>мелованная матовая (Европа)</t>
  </si>
  <si>
    <t>Категория печати</t>
  </si>
  <si>
    <t>????</t>
  </si>
  <si>
    <t>Фальцовка A4 Сборка стаканов 0,7л</t>
  </si>
  <si>
    <t>Высечка В3 (пластик,магнит)</t>
  </si>
  <si>
    <t>Высечка В3 перепл картон</t>
  </si>
  <si>
    <t>Высечка В3 (офсет до 170гр, ме</t>
  </si>
  <si>
    <t>Хотинский</t>
  </si>
  <si>
    <t>Высечка В2 перепл картон</t>
  </si>
  <si>
    <t>Фальцовка A4 Сборка лапшакапов 0,9 л(более)</t>
  </si>
  <si>
    <t>Ламинирование В1 метализ серебро 1+0</t>
  </si>
  <si>
    <t>Ламинирование А2  BOPP 30 мкм более 1+0</t>
  </si>
  <si>
    <t>Ламинирование В1 метализ серебро более 1+0</t>
  </si>
  <si>
    <t>B2</t>
  </si>
  <si>
    <t>B3</t>
  </si>
  <si>
    <t>Фальцовка ? покл. кор.(до15 см)3 точки</t>
  </si>
  <si>
    <t xml:space="preserve">План для Favorit </t>
  </si>
  <si>
    <t>План для KBA Rapida -- 28.10.2019 13:53</t>
  </si>
  <si>
    <t>1:1 ожидание бумаги, хоз роботы.</t>
  </si>
  <si>
    <t>лист 1</t>
  </si>
  <si>
    <t>4+0</t>
  </si>
  <si>
    <t>700x500</t>
  </si>
  <si>
    <t>получена</t>
  </si>
  <si>
    <t>Олег Диденко</t>
  </si>
  <si>
    <t>Ожидание форм 1:1</t>
  </si>
  <si>
    <t>ь</t>
  </si>
  <si>
    <t>обложка</t>
  </si>
  <si>
    <t>ЧОЙС</t>
  </si>
  <si>
    <t>4+0 с/o</t>
  </si>
  <si>
    <t>640x450</t>
  </si>
  <si>
    <t>подсыхание оборота 1:1</t>
  </si>
  <si>
    <t>0+4 с/o</t>
  </si>
  <si>
    <t>#B
блок 1</t>
  </si>
  <si>
    <t>0+4</t>
  </si>
  <si>
    <t>нет</t>
  </si>
  <si>
    <t>#A
блок 1</t>
  </si>
  <si>
    <t>планета пластик</t>
  </si>
  <si>
    <t>Инструкция Харвел А5 32 стр 4+4</t>
  </si>
  <si>
    <t>#1/A
блок 1</t>
  </si>
  <si>
    <t>#1/B
блок 1</t>
  </si>
  <si>
    <t>#2/B
блок 1</t>
  </si>
  <si>
    <t>#2/A
блок 1</t>
  </si>
  <si>
    <t>Мобі Кінг</t>
  </si>
  <si>
    <t>Арнаб</t>
  </si>
  <si>
    <t>#B
лист 1</t>
  </si>
  <si>
    <t>#A
лист 1</t>
  </si>
  <si>
    <t>Ожидание заказчика 1:1</t>
  </si>
  <si>
    <t>ВД лакГ ТЕРМ</t>
  </si>
  <si>
    <t>Товар на склад</t>
  </si>
  <si>
    <t>1+0</t>
  </si>
  <si>
    <t>LexTrade</t>
  </si>
  <si>
    <t>#1
лист 1</t>
  </si>
  <si>
    <t>#2
лист 1</t>
  </si>
  <si>
    <t>#3
лист 1</t>
  </si>
  <si>
    <t>#4
лист 1</t>
  </si>
  <si>
    <t>#5
лист 1</t>
  </si>
  <si>
    <t>Ожидание бумаги 1:1</t>
  </si>
  <si>
    <t>3s agency</t>
  </si>
  <si>
    <t>#B
обложка</t>
  </si>
  <si>
    <t>0+1</t>
  </si>
  <si>
    <t>2+0</t>
  </si>
  <si>
    <t>#A
обложка</t>
  </si>
  <si>
    <t>3+0</t>
  </si>
  <si>
    <t>Комо Украина</t>
  </si>
  <si>
    <t>Юра Хоменко ДВРЗ</t>
  </si>
  <si>
    <t>700x333</t>
  </si>
  <si>
    <t>лист 1 без бумаги</t>
  </si>
  <si>
    <t>СКД Друк</t>
  </si>
  <si>
    <t>Лад-принт</t>
  </si>
  <si>
    <t>ВД лакГ ВЫБ</t>
  </si>
  <si>
    <t>Эгритек</t>
  </si>
  <si>
    <t>Андрей Перцов</t>
  </si>
  <si>
    <t>Амрита</t>
  </si>
  <si>
    <t>700x485</t>
  </si>
  <si>
    <t>#3/A
блок 1</t>
  </si>
  <si>
    <t>#3/B
блок 1</t>
  </si>
  <si>
    <t>нет смены (хоз работы) 1:1</t>
  </si>
  <si>
    <t>Джерелия</t>
  </si>
  <si>
    <t>офсет котлос</t>
  </si>
  <si>
    <t>лак</t>
  </si>
  <si>
    <t>1+1</t>
  </si>
  <si>
    <t>Снята работа (= 1 приладка)</t>
  </si>
  <si>
    <t>блок 1</t>
  </si>
  <si>
    <t>#A/1
лист 1</t>
  </si>
  <si>
    <t>#A/2
лист 1</t>
  </si>
  <si>
    <t>#1
лист 1 без бумаги</t>
  </si>
  <si>
    <t>#2
лист 1 без бумаги</t>
  </si>
  <si>
    <t>План для Praktika -- 27.10.2019 12:18</t>
  </si>
  <si>
    <t>ХЕЛСИ ФАРМ УКРАИНА</t>
  </si>
  <si>
    <t>Инструкции Изосол 191*298, 55 офсет, 1+1, 2 фальца</t>
  </si>
  <si>
    <t>600x400</t>
  </si>
  <si>
    <t>Фальцовка ? 3 фальца</t>
  </si>
  <si>
    <t>Фальцовка ? Сборка лапшакапов 0,9 л</t>
  </si>
  <si>
    <t>Фальцовка ? Сборка стаканов 5,0л (Более)</t>
  </si>
  <si>
    <t>Фальцовка ? покл. кор.(до 15см)1 точка</t>
  </si>
  <si>
    <t>ФарКос</t>
  </si>
  <si>
    <t>Абсолют (К)</t>
  </si>
  <si>
    <t>коробка 1вид</t>
  </si>
  <si>
    <t>Далгокиран</t>
  </si>
  <si>
    <t>Фальцовка A4 Сборка лапшакапов 0,57 л</t>
  </si>
  <si>
    <t>картон переплетный 2,0мм(1850 гр) Форест 100*70</t>
  </si>
  <si>
    <t>Офсетная более</t>
  </si>
  <si>
    <t>картон бел об ламинир. PE  235 гр м/2</t>
  </si>
  <si>
    <t>JoinUp.ua</t>
  </si>
  <si>
    <t>690x440</t>
  </si>
  <si>
    <t>Коффетон</t>
  </si>
  <si>
    <t>ТОВ «ТТВК»</t>
  </si>
  <si>
    <t>Фальцовка ? Сборка стаканов 1 л(более)</t>
  </si>
  <si>
    <t>Коробка "Ночной и Дневной крема на 50 мл</t>
  </si>
  <si>
    <t>#A
блок 2</t>
  </si>
  <si>
    <t>#B
блок 2</t>
  </si>
  <si>
    <t>картон беж. об лам. PE 235 гр м/2</t>
  </si>
  <si>
    <t>Картон макулатурный МО до 300гр/м2 Обухов</t>
  </si>
  <si>
    <t>Клевцова Галина</t>
  </si>
  <si>
    <t>3+0 с/o</t>
  </si>
  <si>
    <t>1+0 с/o</t>
  </si>
  <si>
    <t>0+1 с/o</t>
  </si>
  <si>
    <t>0+3</t>
  </si>
  <si>
    <t>коробка 2вид</t>
  </si>
  <si>
    <t>мелованная глянцевая (Европа)</t>
  </si>
  <si>
    <t>залом картона</t>
  </si>
  <si>
    <t>600 Игра "Ширше рота" УА</t>
  </si>
  <si>
    <t>500 Игра "Шире рот" РУ</t>
  </si>
  <si>
    <t>мелованная глянцевая (Европа) более</t>
  </si>
  <si>
    <t>Конус Севада</t>
  </si>
  <si>
    <t>мелованная матовая (Китай) более</t>
  </si>
  <si>
    <t>Заур</t>
  </si>
  <si>
    <t>700x480</t>
  </si>
  <si>
    <t>Крафт картон Буро-бурый</t>
  </si>
  <si>
    <t>картон целюлоз бел об более</t>
  </si>
  <si>
    <t>газетная пухлая более</t>
  </si>
  <si>
    <t>Вывел Рапида 27.12</t>
  </si>
  <si>
    <t>Нет смены</t>
  </si>
  <si>
    <t xml:space="preserve"> 01.12.2019  1 cмена  Андрей Слисарук</t>
  </si>
  <si>
    <t>Шавуха</t>
  </si>
  <si>
    <t>640x300</t>
  </si>
  <si>
    <t>Woli</t>
  </si>
  <si>
    <t>Академия обучения</t>
  </si>
  <si>
    <t>ДО 13.01.2020  Блокнот А5 30л</t>
  </si>
  <si>
    <t>Рицовка переплетного картона</t>
  </si>
  <si>
    <t>Высечка В2 гофро более</t>
  </si>
  <si>
    <t>Алюпласт</t>
  </si>
  <si>
    <t>форзац</t>
  </si>
  <si>
    <t>Картон макулатурный МО до 400гр м2 Обухов</t>
  </si>
  <si>
    <t>картон целюлоз беж об более</t>
  </si>
  <si>
    <t>самокопирка</t>
  </si>
  <si>
    <t>Картон коробковый 0,6 мм 420 гр Луцк более</t>
  </si>
  <si>
    <t>микрогофро 3 сл белый 300гр/м2</t>
  </si>
  <si>
    <t>Крафт картон РЕ  целюлозный 250гр</t>
  </si>
  <si>
    <t>Картон макулатурный ММ  свыше 300 гр/м2 Обухов более</t>
  </si>
  <si>
    <t xml:space="preserve"> 09.01.2020  1 cмена  Борис Колач</t>
  </si>
  <si>
    <t xml:space="preserve"> 09.01.2020  2 cмена  </t>
  </si>
  <si>
    <t xml:space="preserve"> 10.01.2020  1 cмена  </t>
  </si>
  <si>
    <t xml:space="preserve"> 10.01.2020  2 cмена  </t>
  </si>
  <si>
    <t xml:space="preserve"> 11.01.2020  1 cмена  </t>
  </si>
  <si>
    <t xml:space="preserve"> 11.01.2020  2 cмена  </t>
  </si>
  <si>
    <t xml:space="preserve"> 12.01.2020  1 cмена  </t>
  </si>
  <si>
    <t xml:space="preserve"> 12.01.2020  2 cмена  </t>
  </si>
  <si>
    <t xml:space="preserve"> 13.01.2020  1 cмена  </t>
  </si>
  <si>
    <t xml:space="preserve"> 13.01.2020  2 cмена  </t>
  </si>
  <si>
    <t xml:space="preserve"> 14.01.2020  1 cмена  </t>
  </si>
  <si>
    <t xml:space="preserve"> 14.01.2020  2 cмена  </t>
  </si>
  <si>
    <t xml:space="preserve"> 15.01.2020  1 cмена  Борис Колач</t>
  </si>
  <si>
    <t>Бланк</t>
  </si>
  <si>
    <t>Наклейка заводський розріз 160*50</t>
  </si>
  <si>
    <t xml:space="preserve"> 15.01.2020  2 cмена  </t>
  </si>
  <si>
    <t xml:space="preserve"> 16.01.2020  1 cмена  Борис Колач</t>
  </si>
  <si>
    <t>Инструкции</t>
  </si>
  <si>
    <t>600x420</t>
  </si>
  <si>
    <t>Блокнот А5 с отрывными блоками 50 л + обложки  300  hst, 300 aluskin и 400  smart</t>
  </si>
  <si>
    <t>620x440</t>
  </si>
  <si>
    <t xml:space="preserve"> 16.01.2020  2 cмена  </t>
  </si>
  <si>
    <t xml:space="preserve"> 17.01.2020  1 cмена  </t>
  </si>
  <si>
    <t xml:space="preserve"> 17.01.2020  2 cмена  </t>
  </si>
  <si>
    <t xml:space="preserve"> 18.01.2020  1 cмена  </t>
  </si>
  <si>
    <t xml:space="preserve"> 18.01.2020  2 cмена  </t>
  </si>
  <si>
    <t xml:space="preserve"> 19.01.2020  1 cмена  </t>
  </si>
  <si>
    <t xml:space="preserve"> 19.01.2020  2 cмена  </t>
  </si>
  <si>
    <t xml:space="preserve"> 20.01.2020  1 cмена  </t>
  </si>
  <si>
    <t xml:space="preserve"> 20.01.2020  2 cмена  </t>
  </si>
  <si>
    <t xml:space="preserve"> 21.01.2020  1 cмена  </t>
  </si>
  <si>
    <t xml:space="preserve"> 21.01.2020  2 cмена  </t>
  </si>
  <si>
    <t xml:space="preserve"> 22.01.2020  1 cмена  Борис Колач</t>
  </si>
  <si>
    <t>Блокнот а5, блок 80 гр офсет 1+0 50 л., обл+подл заказчика 350 гр пружина белая по узкой</t>
  </si>
  <si>
    <t xml:space="preserve"> 22.01.2020  2 cмена  </t>
  </si>
  <si>
    <t xml:space="preserve"> 23.01.2020  1 cмена  </t>
  </si>
  <si>
    <t xml:space="preserve"> 23.01.2020  2 cмена  </t>
  </si>
  <si>
    <t xml:space="preserve"> 24.01.2020  1 cмена  Борис Колач</t>
  </si>
  <si>
    <t>Блокнот а5, блок 80 гр офсет 1+0 50 л. ДОПЕЧАТЬ 100л</t>
  </si>
  <si>
    <t xml:space="preserve"> 03.01.2020  1 cмена  Валерий Петрушенко </t>
  </si>
  <si>
    <t>1:1 разогрев машины, холодный цех.</t>
  </si>
  <si>
    <t>Упаковка Антихот</t>
  </si>
  <si>
    <t xml:space="preserve"> 03.01.2020  2 cмена  Александр Саминин</t>
  </si>
  <si>
    <t>Контроль порезки!!  Хонор</t>
  </si>
  <si>
    <t xml:space="preserve">  Блокнот-допечать обложки</t>
  </si>
  <si>
    <t xml:space="preserve"> 04.01.2020  1 cмена  Олег Диденко</t>
  </si>
  <si>
    <t>Смена без помощника +20 % к баллам за смену</t>
  </si>
  <si>
    <t>Имидж</t>
  </si>
  <si>
    <t>700*500 Коробка Бальзам новая 30г 270г 2 в ида по 12500.</t>
  </si>
  <si>
    <t xml:space="preserve"> 04.01.2020  2 cмена  Александр Саминин</t>
  </si>
  <si>
    <t>Тульчин Мясо</t>
  </si>
  <si>
    <t>Чикен и Биф новый макет(с коровой и курицей), с перфорацией по 1,5тыс 2 вида</t>
  </si>
  <si>
    <t>1:1 сорвало лист, разборка секции.</t>
  </si>
  <si>
    <t>Гентаксан 5г-12000шт, 8г-3000шт. и 8г- 5000шт серия другая и дата.  шрифт брайля упаковка по 2500</t>
  </si>
  <si>
    <t xml:space="preserve"> 05.01.2020  1 cмена  Олег Диденко</t>
  </si>
  <si>
    <t>1:1 засохший пантон.</t>
  </si>
  <si>
    <t xml:space="preserve"> 05.01.2020  2 cмена  Александр Саминин</t>
  </si>
  <si>
    <t xml:space="preserve"> 06.01.2020  1 cмена  </t>
  </si>
  <si>
    <t xml:space="preserve"> 06.01.2020  2 cмена  </t>
  </si>
  <si>
    <t xml:space="preserve"> 07.01.2020  1 cмена  </t>
  </si>
  <si>
    <t xml:space="preserve"> 07.01.2020  2 cмена  </t>
  </si>
  <si>
    <t xml:space="preserve"> 08.01.2020  1 cмена  Александр Саминин</t>
  </si>
  <si>
    <t xml:space="preserve"> 08.01.2020  2 cмена  Валерий Петрушенко </t>
  </si>
  <si>
    <t>Джеймисон 3л 3х сл 850 роль гофры идет</t>
  </si>
  <si>
    <t>1000шт игра "Ты + я"</t>
  </si>
  <si>
    <t xml:space="preserve"> 09.01.2020  1 cмена  Александр Саминин</t>
  </si>
  <si>
    <t xml:space="preserve"> 09.01.2020  2 cмена  Валерий Петрушенко </t>
  </si>
  <si>
    <t>Блоки для записей А5 30 листов, 4+0, 80 гр офсет, подложка картон 250 Склейка по короткой</t>
  </si>
  <si>
    <t>Блокнот Гало допечать тетрадь2</t>
  </si>
  <si>
    <t>Блокнот Гало допечать тетрадь1</t>
  </si>
  <si>
    <t>Подсыхание оборота 40 мин</t>
  </si>
  <si>
    <t>Папки А3 4+0 мат лам 1+0 2 бига</t>
  </si>
  <si>
    <t>вывел KBA 2020-01-09_20h_20m</t>
  </si>
  <si>
    <t>БРУТ ЛТД</t>
  </si>
  <si>
    <t>Гарантийный талон</t>
  </si>
  <si>
    <t xml:space="preserve"> 10.01.2020  1 cмена  Александр Саминин</t>
  </si>
  <si>
    <t>1:1 устранение скочков по маркам, кривая бумага.</t>
  </si>
  <si>
    <t>Винтаж пафы Сиела 313*92 №200</t>
  </si>
  <si>
    <t xml:space="preserve"> 10.01.2020  2 cмена  Олег Диденко</t>
  </si>
  <si>
    <t>СПД Медведь</t>
  </si>
  <si>
    <t>120*40*40</t>
  </si>
  <si>
    <t>Коробка Арнизин для суставов – 3 000 шт, Арнизин для вен – 2 000 шт, Арнизин при простуде – 1 000 шт.</t>
  </si>
  <si>
    <t xml:space="preserve"> 11.01.2020  1 cмена  Александр Саминин</t>
  </si>
  <si>
    <t>Турецькі солодощі</t>
  </si>
  <si>
    <t>Пишмание ассорти</t>
  </si>
  <si>
    <t xml:space="preserve"> 11.01.2020  2 cмена  Олег Диденко</t>
  </si>
  <si>
    <t>Пишмание  ваниль</t>
  </si>
  <si>
    <t>Копишоп Украина</t>
  </si>
  <si>
    <t>Ведро 2,5л Лейс ГОЛУБОЙ</t>
  </si>
  <si>
    <t>570x378</t>
  </si>
  <si>
    <t xml:space="preserve"> 12.01.2020  1 cмена  Валерий Петрушенко </t>
  </si>
  <si>
    <t>1:1 плохо отрывается резина.</t>
  </si>
  <si>
    <t>Блоки А6 обл+подложка 170 гр 4+4, блок 4+0 50 л офсет 80 гр проклейка по короткой</t>
  </si>
  <si>
    <t>#B
подложка</t>
  </si>
  <si>
    <t>#A
подложка</t>
  </si>
  <si>
    <t xml:space="preserve"> 12.01.2020  2 cмена  Олег Диденко</t>
  </si>
  <si>
    <t>Обкладинка</t>
  </si>
  <si>
    <t>1:1 устранение смазивания листа.</t>
  </si>
  <si>
    <t>Туалетна вода Emotion code жен и муж.</t>
  </si>
  <si>
    <t>1:1 запуск офсета.</t>
  </si>
  <si>
    <t xml:space="preserve">  Молескин  . Повтор блокнота Тк 3060</t>
  </si>
  <si>
    <t>Вывел на Рапиду 11.01</t>
  </si>
  <si>
    <t xml:space="preserve"> 13.01.2020  1 cмена  Валерий Петрушенко </t>
  </si>
  <si>
    <t>1:1 переборка офсета, битые углы.</t>
  </si>
  <si>
    <t>#1/A
блок 2</t>
  </si>
  <si>
    <t>#2/A
блок 2</t>
  </si>
  <si>
    <t>#3/A
блок 2</t>
  </si>
  <si>
    <t>#3/B
блок 2</t>
  </si>
  <si>
    <t>#2/B
блок 2</t>
  </si>
  <si>
    <t>#1/B
блок 2</t>
  </si>
  <si>
    <t>В2 4+0 картон 230 гр макулатура Масляный насос</t>
  </si>
  <si>
    <t xml:space="preserve"> 13.01.2020  2 cмена  Олег Диденко</t>
  </si>
  <si>
    <t>"Шанталь крем для лица" – 6000 шт. БЕЗ ТИСНЕНИЯ</t>
  </si>
  <si>
    <t xml:space="preserve"> 14.01.2020  1 cмена  Валерий Петрушенко </t>
  </si>
  <si>
    <t xml:space="preserve"> 14.01.2020  2 cмена  Александр Саминин</t>
  </si>
  <si>
    <t>Golden Fleece</t>
  </si>
  <si>
    <t>Cамоклейка Европа!! Наклейки 10000</t>
  </si>
  <si>
    <t xml:space="preserve">  Блокнот А5 . Цветная печать</t>
  </si>
  <si>
    <t>вывел KBA 2020-01-14_19h_46m</t>
  </si>
  <si>
    <t>Смывка 4 секции без кипсеек</t>
  </si>
  <si>
    <t xml:space="preserve"> 15.01.2020  1 cмена  Валерий Петрушенко </t>
  </si>
  <si>
    <t xml:space="preserve"> 15.01.2020  2 cмена  Александр Саминин</t>
  </si>
  <si>
    <t>Ведро 2,5л Лейс  ЗЕЛЕНЫЙ</t>
  </si>
  <si>
    <t>Флоренс</t>
  </si>
  <si>
    <t>Стекло Флоренс с ВДлаком</t>
  </si>
  <si>
    <t xml:space="preserve"> 16.01.2020  1 cмена  Олег Диденко</t>
  </si>
  <si>
    <t>Наклейка Харвелл 2,7 А5</t>
  </si>
  <si>
    <t>Обкладинка Щегол</t>
  </si>
  <si>
    <t>Папка УКрСИч</t>
  </si>
  <si>
    <t>Пакеты. Укрсич штамп 240*360*90</t>
  </si>
  <si>
    <t>вывод KBA 2020-01-15_20h_47m</t>
  </si>
  <si>
    <t>Сергей Ясный</t>
  </si>
  <si>
    <t>Игральные карты в коробке 1 вид по 2000</t>
  </si>
  <si>
    <t xml:space="preserve"> 16.01.2020  2 cмена  Александр Саминин</t>
  </si>
  <si>
    <t>Бандаж 301-5000шт/201-5000шт</t>
  </si>
  <si>
    <t>вывел KBA 2020-01-16_19h_46m</t>
  </si>
  <si>
    <t xml:space="preserve"> 17.01.2020  1 cмена  Олег Диденко</t>
  </si>
  <si>
    <t>Бінт медичний еластичний синий</t>
  </si>
  <si>
    <t>Коробка "WOW сиворотка-концентрат для обличчя. Моментальний ліфтинг."</t>
  </si>
  <si>
    <t xml:space="preserve"> 17.01.2020  2 cмена  Александр Саминин</t>
  </si>
  <si>
    <t>Талан Груп</t>
  </si>
  <si>
    <t>Диспенсеры Laufenn</t>
  </si>
  <si>
    <t>вывел KBA 2020-01-16_20h_49m</t>
  </si>
  <si>
    <t>Диспенсеры Hankook</t>
  </si>
  <si>
    <t xml:space="preserve"> 18.01.2020  1 cмена  Олег Диденко</t>
  </si>
  <si>
    <t>Коробка  «Вітамін D3”</t>
  </si>
  <si>
    <t xml:space="preserve"> Конус  4+0 ламинация штамп 788</t>
  </si>
  <si>
    <t>1:1 экспериментысобложкой скд тк 104</t>
  </si>
  <si>
    <t xml:space="preserve"> 18.01.2020  2 cмена  Валерий Петрушенко </t>
  </si>
  <si>
    <t xml:space="preserve"> 19.01.2020  2 cмена  Валерий Петрушенко </t>
  </si>
  <si>
    <t xml:space="preserve"> 20.01.2020  1 cмена  Александр Саминин</t>
  </si>
  <si>
    <t xml:space="preserve"> 20.01.2020  2 cмена  Валерий Петрушенко </t>
  </si>
  <si>
    <t xml:space="preserve"> 21.01.2020  1 cмена  Александр Саминин</t>
  </si>
  <si>
    <t>Parus</t>
  </si>
  <si>
    <t>Буклет 3 фальца 297х2630 мм в А4; 2 биг печать 4+4, с одной стороны выборочный  лак</t>
  </si>
  <si>
    <t xml:space="preserve"> Стопер</t>
  </si>
  <si>
    <t xml:space="preserve"> 21.01.2020  2 cмена  Валерий Петрушенко </t>
  </si>
  <si>
    <t>Винтаж пафы Белоснежка 523*92 №400</t>
  </si>
  <si>
    <t>Гарантийный талон. ПЕРЕПЕЧАТЬ!!!</t>
  </si>
  <si>
    <t xml:space="preserve"> 22.01.2020  1 cмена  Александр Саминин</t>
  </si>
  <si>
    <t xml:space="preserve"> Пишмание какао</t>
  </si>
  <si>
    <t xml:space="preserve"> Пишмание фисташка</t>
  </si>
  <si>
    <t xml:space="preserve"> 22.01.2020  2 cмена  Олег Диденко</t>
  </si>
  <si>
    <t>Обкладинка Сапиенс</t>
  </si>
  <si>
    <t>Коробка MAY body Регенеруючий крем для сухої та пошкодженної шкіри рук с 5в1, 75г</t>
  </si>
  <si>
    <t xml:space="preserve"> 23.01.2020  1 cмена  Александр Саминин</t>
  </si>
  <si>
    <t>1:1 сохренение вд резины,установка вд резины.</t>
  </si>
  <si>
    <t xml:space="preserve"> Пишмание шоколад</t>
  </si>
  <si>
    <t>1:1 сохранение, установка, порезка резины.</t>
  </si>
  <si>
    <t xml:space="preserve">  Пишмание шоколад 2</t>
  </si>
  <si>
    <t xml:space="preserve"> 23.01.2020  2 cмена  Олег Диденко</t>
  </si>
  <si>
    <t>1:1 мусорный картон. Черная в одну краску мухи.</t>
  </si>
  <si>
    <t>1:1 поиск , завеска, порезка плохо отрывается резина.</t>
  </si>
  <si>
    <t>"Собачки" Карты В2 3х1050л 4+4 ВД лак 1+1+ Поле А2 1050 листов 4+0</t>
  </si>
  <si>
    <t xml:space="preserve"> 24.01.2020  1 cмена  Валерий Петрушенко </t>
  </si>
  <si>
    <t>Ботаника</t>
  </si>
  <si>
    <t xml:space="preserve"> Коробка 1 вид+2 вид.  по 2000 шт.</t>
  </si>
  <si>
    <t xml:space="preserve"> Коробка 3 вид 4000 шт</t>
  </si>
  <si>
    <t xml:space="preserve"> 24.01.2020  2 cмена  Олег Диденко</t>
  </si>
  <si>
    <t>Вкладыш дневной и ночной 50 мл</t>
  </si>
  <si>
    <t>#1/A
лист 1 без бумаги</t>
  </si>
  <si>
    <t>#1/B
лист 1 без бумаги</t>
  </si>
  <si>
    <t xml:space="preserve"> 25.01.2020  1 cмена  Валерий Петрушенко </t>
  </si>
  <si>
    <t>Мега Буд</t>
  </si>
  <si>
    <t>Брошюбра 16 ст А4</t>
  </si>
  <si>
    <t xml:space="preserve"> 25.01.2020  2 cмена  Олег Диденко</t>
  </si>
  <si>
    <t xml:space="preserve"> 26.01.2020  1 cмена  Валерий Петрушенко </t>
  </si>
  <si>
    <t xml:space="preserve"> 26.01.2020  2 cмена  Александр Саминин</t>
  </si>
  <si>
    <t xml:space="preserve"> 27.01.2020  1 cмена  Валерий Петрушенко </t>
  </si>
  <si>
    <t xml:space="preserve"> 27.01.2020  2 cмена  Александр Саминин</t>
  </si>
  <si>
    <t>Обечайка на коробку 635х215 - 1000 шт, 503х230 - 1000 шт</t>
  </si>
  <si>
    <t>1:1 запускразносортной бумаги. Шкалі не влазят.</t>
  </si>
  <si>
    <t>Блоки бумаги, формат А 6, 100 гр офсет 50 л проклейка</t>
  </si>
  <si>
    <t xml:space="preserve"> 28.01.2020  1 cмена  Олег Диденко</t>
  </si>
  <si>
    <t>Наклейка 190х100 4+0 2,8 л- 15000 4,0 л - 15000</t>
  </si>
  <si>
    <t>Наклейка 170х90 4+0 1,4 л</t>
  </si>
  <si>
    <t>вывел KBA 2020-01-27_21h_05m</t>
  </si>
  <si>
    <t>1:1 завес резині и тд.</t>
  </si>
  <si>
    <t xml:space="preserve"> 28.01.2020  2 cмена  Александр Саминин</t>
  </si>
  <si>
    <t>Финляндия  снежинка цмик</t>
  </si>
  <si>
    <t>МСК МЕД</t>
  </si>
  <si>
    <t>РетиноВит + Глаувит + Клише</t>
  </si>
  <si>
    <t>1:1 сорвало лист.</t>
  </si>
  <si>
    <t xml:space="preserve"> 29.01.2020  1 cмена  Олег Диденко</t>
  </si>
  <si>
    <t>1:1 устранение листа в секции.</t>
  </si>
  <si>
    <t>Либра таблетки 30 табл.</t>
  </si>
  <si>
    <t>МКМ Найнекс</t>
  </si>
  <si>
    <t>Токсин.нет гель 120*120*70   НОЖ 579</t>
  </si>
  <si>
    <t xml:space="preserve"> 29.01.2020  2 cмена  Александр Саминин</t>
  </si>
  <si>
    <t>Агроаксиал</t>
  </si>
  <si>
    <t>Папка А4(Крсич высечка) Агроаксиал</t>
  </si>
  <si>
    <t xml:space="preserve"> 30.01.2020  1 cмена  Олег Диденко</t>
  </si>
  <si>
    <t>Текст очень черный нужно!!! Книга "Проект человек" 440стр(13 тетр по 32стрн и 1 тетр -24стрн)</t>
  </si>
  <si>
    <t>Adare International</t>
  </si>
  <si>
    <t>Плакат А2 А2 (594 х 420 мм), меловка глянцевая 150 г/м2, красочность 4/0, УФ лак 1/0</t>
  </si>
  <si>
    <t>Вобблер 140*125 мм, 4+0, картон 250г/м2, ламинация глянец 1+0, высечка фигурная</t>
  </si>
  <si>
    <t>1:1 устранение царапин, пересменка.</t>
  </si>
  <si>
    <t xml:space="preserve"> 30.01.2020  2 cмена  Валерий Петрушенко </t>
  </si>
  <si>
    <t>1:1 поиск, устранение царапания оборота, чистка дороги.</t>
  </si>
  <si>
    <t xml:space="preserve"> 31.01.2020  1 cмена  Олег Диденко</t>
  </si>
  <si>
    <t>Иберия</t>
  </si>
  <si>
    <t>Коробка под хинкали финальная</t>
  </si>
  <si>
    <t xml:space="preserve"> Чикен и Биф новый макет Новый, с перфорацией по 3000тыс 2 вида</t>
  </si>
  <si>
    <t>1:1 плотній картон, устранение смазивания.</t>
  </si>
  <si>
    <t>Аллен Парфюм</t>
  </si>
  <si>
    <t xml:space="preserve">  Чехлы BABYLON - 3000 шт., KENDO - 1500 шт</t>
  </si>
  <si>
    <t xml:space="preserve"> 31.01.2020  2 cмена  Валерий Петрушенко </t>
  </si>
  <si>
    <t>1:1 устранение царапин.</t>
  </si>
  <si>
    <t>Коробка BABYLON - 3000 шт, KENDO - 1500 шт.</t>
  </si>
  <si>
    <t>вывод KBA 2020-01-30_19h_19m</t>
  </si>
  <si>
    <t>Контроль порезки!!  вставки Бекберг</t>
  </si>
  <si>
    <t>С А3 в А4     Укр.</t>
  </si>
  <si>
    <t>#A
лист 1 без бумаги</t>
  </si>
  <si>
    <t>#B
лист 1 без бумаги</t>
  </si>
  <si>
    <t>Оптима юсб Light Speed MicroUSB</t>
  </si>
  <si>
    <t>700x515</t>
  </si>
  <si>
    <t>Хотинский Андрей</t>
  </si>
  <si>
    <t>Оптима глас Full Screen-53334шт / обычная -106668шт</t>
  </si>
  <si>
    <t xml:space="preserve"> 04.01.2020  1 cмена  Доценко Павел</t>
  </si>
  <si>
    <t xml:space="preserve"> 04.01.2020  2 cмена  Хотинский Андрей</t>
  </si>
  <si>
    <t xml:space="preserve"> 05.01.2020  1 cмена  Доценко Павел</t>
  </si>
  <si>
    <t xml:space="preserve"> 05.01.2020  2 cмена  </t>
  </si>
  <si>
    <t xml:space="preserve"> 08.01.2020  1 cмена  Андрей Слисарук</t>
  </si>
  <si>
    <t xml:space="preserve"> 08.01.2020  2 cмена  Доценко Павел</t>
  </si>
  <si>
    <t>Марина</t>
  </si>
  <si>
    <t>Коробка укр</t>
  </si>
  <si>
    <t>Вывел Фаворит 27.12
Вывел лак Фаворит 08.01</t>
  </si>
  <si>
    <t xml:space="preserve"> 09.01.2020  1 cмена  Андрей Слисарук</t>
  </si>
  <si>
    <t>Алекс Пеллеты</t>
  </si>
  <si>
    <t xml:space="preserve"> Розжиги коробка на 50шт+ лам мат. Уменьшенная</t>
  </si>
  <si>
    <t xml:space="preserve"> 09.01.2020  2 cмена  Доценко Павел</t>
  </si>
  <si>
    <t xml:space="preserve"> 10.01.2020  1 cмена  Хотинский Андрей</t>
  </si>
  <si>
    <t>Народный Продукт</t>
  </si>
  <si>
    <t>Обичайка ланч-бокс со скотчем 2 вида(помаранчевий-4600шт/зелений-2300шт)</t>
  </si>
  <si>
    <t xml:space="preserve"> 10.01.2020  2 cмена  Доценко Павел</t>
  </si>
  <si>
    <t xml:space="preserve"> 11.01.2020  1 cмена  Хотинский Андрей</t>
  </si>
  <si>
    <t>#1
блок 1</t>
  </si>
  <si>
    <t>610x440</t>
  </si>
  <si>
    <t xml:space="preserve"> 11.01.2020  2 cмена  Доценко Павел</t>
  </si>
  <si>
    <t>#2
блок 1</t>
  </si>
  <si>
    <t xml:space="preserve"> 12.01.2020  1 cмена  Хотинский Андрей</t>
  </si>
  <si>
    <t xml:space="preserve"> 13.01.2020  1 cмена  Хотинский Андрей</t>
  </si>
  <si>
    <t xml:space="preserve"> 13.01.2020  2 cмена  Андрей Слисарук</t>
  </si>
  <si>
    <t>Крылья</t>
  </si>
  <si>
    <t>Турбина (крылья)</t>
  </si>
  <si>
    <t>700x510</t>
  </si>
  <si>
    <t xml:space="preserve"> 14.01.2020  1 cмена  Доценко Павел</t>
  </si>
  <si>
    <t xml:space="preserve"> 14.01.2020  2 cмена  Андрей Слисарук</t>
  </si>
  <si>
    <t xml:space="preserve"> Коробка бейби</t>
  </si>
  <si>
    <t>333x700</t>
  </si>
  <si>
    <t xml:space="preserve"> 15.01.2020  1 cмена  Доценко Павел</t>
  </si>
  <si>
    <t xml:space="preserve"> 15.01.2020  2 cмена  Андрей Слисарук</t>
  </si>
  <si>
    <t>1000 Папок 1+ 0</t>
  </si>
  <si>
    <t>КФ "Східні Ласощі"(новые макеты)</t>
  </si>
  <si>
    <t>ОбиЧайки большие САКУРА-3000шт/ТРЮФЕЛЬ-3000шт</t>
  </si>
  <si>
    <t xml:space="preserve"> 16.01.2020  1 cмена  Доценко Павел</t>
  </si>
  <si>
    <t xml:space="preserve"> 16.01.2020  2 cмена  Хотинский Андрей</t>
  </si>
  <si>
    <t>Сертификаты видповидности Хвыля здоровья 3000шт</t>
  </si>
  <si>
    <t>Анастасия Одежда</t>
  </si>
  <si>
    <t>Носки с европетлей</t>
  </si>
  <si>
    <t xml:space="preserve"> 17.01.2020  1 cмена  Доценко Павел</t>
  </si>
  <si>
    <t>Баланс-3тыс, Брейкблок-6тыс, Бриз-6тыс, Гермицид-6тыс, Хитозан -6тыс</t>
  </si>
  <si>
    <t xml:space="preserve"> 17.01.2020  2 cмена  Хотинский Андрей</t>
  </si>
  <si>
    <t>Рыбник Сергей</t>
  </si>
  <si>
    <t>Мидия3-2х,скумб500-3х,матье-450-2х,матье300-3х,матье190-4х,матье5-2х,матье3-6х</t>
  </si>
  <si>
    <t xml:space="preserve"> Вкладыш  Гермицид-6 тыс, Бриз-6тыс, Брейкблок-6тыс, Хитозан-6тыс, Баланс-3тыс</t>
  </si>
  <si>
    <t xml:space="preserve"> 18.01.2020  1 cмена  Андрей Слисарук</t>
  </si>
  <si>
    <t>Фішки.юа</t>
  </si>
  <si>
    <t>Чехол Большой крафт</t>
  </si>
  <si>
    <t>Шестиугольник білий 3*200+ лого шестикутне 4000шт</t>
  </si>
  <si>
    <t xml:space="preserve"> 18.01.2020  2 cмена  Хотинский Андрей</t>
  </si>
  <si>
    <t>Шестиугольник чорний 4*150-3000шт/чорний 3*200-3000шт+ лого шестикутне 12000шт</t>
  </si>
  <si>
    <t xml:space="preserve"> 20.01.2020  1 cмена  Андрей Слисарук</t>
  </si>
  <si>
    <t xml:space="preserve"> 20.01.2020  2 cмена  Доценко Павел</t>
  </si>
  <si>
    <t>ОбиЧайки большие РАФАЕЛЬ-3000шт/МЕДОВО-ЙОГУРТОВА-3000шт</t>
  </si>
  <si>
    <t xml:space="preserve"> 21.01.2020  1 cмена  Андрей Слисарук</t>
  </si>
  <si>
    <t>Базис</t>
  </si>
  <si>
    <t>ОЧЕНЕЬ СРОЧНО! Коробка</t>
  </si>
  <si>
    <t>Украинские абразивы</t>
  </si>
  <si>
    <t>Коробка под сверло 2 вида по 3000</t>
  </si>
  <si>
    <t>Корбка под стакан макулатура</t>
  </si>
  <si>
    <t xml:space="preserve"> 21.01.2020  2 cмена  Доценко Павел</t>
  </si>
  <si>
    <t xml:space="preserve"> V24,0,7л квадратный попкорн</t>
  </si>
  <si>
    <t>700x400</t>
  </si>
  <si>
    <t xml:space="preserve"> 22.01.2020  1 cмена  Хотинский Андрей</t>
  </si>
  <si>
    <t>Евросил</t>
  </si>
  <si>
    <t>Календарь</t>
  </si>
  <si>
    <t>Коробка Изосол 500 мл 6+0 (CMYK+2p) картон 250  220 х 95 х 42 (ПОВТОР 3089)</t>
  </si>
  <si>
    <t xml:space="preserve"> 22.01.2020  2 cмена  Доценко Павел</t>
  </si>
  <si>
    <t xml:space="preserve"> 23.01.2020  1 cмена  Хотинский Андрей</t>
  </si>
  <si>
    <t>Ваня Клей</t>
  </si>
  <si>
    <t xml:space="preserve"> Новый клей</t>
  </si>
  <si>
    <t>645x450</t>
  </si>
  <si>
    <t>1:1 ожидание пантона.</t>
  </si>
  <si>
    <t xml:space="preserve"> 23.01.2020  2 cмена  Доценко Павел</t>
  </si>
  <si>
    <t xml:space="preserve"> 24.01.2020  1 cмена  Хотинский Андрей</t>
  </si>
  <si>
    <t>Юдиси Трейдинг</t>
  </si>
  <si>
    <t>Коробка под розжиги 230*130*110</t>
  </si>
  <si>
    <t>Андрей Футбоксы</t>
  </si>
  <si>
    <t xml:space="preserve"> Упаковка футбокс крафтс белым об. пантон черный штамп 925</t>
  </si>
  <si>
    <t xml:space="preserve"> 24.01.2020  2 cмена  Андрей Слисарук</t>
  </si>
  <si>
    <t xml:space="preserve"> Коробки 6х6х13 (крылья)</t>
  </si>
  <si>
    <t xml:space="preserve"> 25.01.2020  1 cмена  Хотинский Андрей</t>
  </si>
  <si>
    <t xml:space="preserve"> 25.01.2020  2 cмена  </t>
  </si>
  <si>
    <t xml:space="preserve"> 26.01.2020  1 cмена  Доценко Павел</t>
  </si>
  <si>
    <t xml:space="preserve"> 26.01.2020  2 cмена  </t>
  </si>
  <si>
    <t xml:space="preserve"> 27.01.2020  1 cмена  Доценко Павел</t>
  </si>
  <si>
    <t xml:space="preserve"> 27.01.2020  2 cмена  Андрей Слисарук</t>
  </si>
  <si>
    <t>Джоинт Украина</t>
  </si>
  <si>
    <t>Шоубокс</t>
  </si>
  <si>
    <t xml:space="preserve"> 28.01.2020  1 cмена  Доценко Павел</t>
  </si>
  <si>
    <t xml:space="preserve"> 28.01.2020  2 cмена  </t>
  </si>
  <si>
    <t xml:space="preserve"> 29.01.2020  1 cмена  Доценко Павел</t>
  </si>
  <si>
    <t>Блоки для записей А5 2 вида по 140шт 30 листов, 80 гр/м2 офсет, 4+0 Склейка по узкой стороне</t>
  </si>
  <si>
    <t xml:space="preserve"> 29.01.2020  2 cмена  </t>
  </si>
  <si>
    <t xml:space="preserve"> 30.01.2020  1 cмена  Андрей Слисарук</t>
  </si>
  <si>
    <t>А2 4+0 картон 210 гр  Ложемент Bombaт</t>
  </si>
  <si>
    <t>1:1 помощ на рапиде.</t>
  </si>
  <si>
    <t xml:space="preserve"> 30.01.2020  2 cмена  </t>
  </si>
  <si>
    <t xml:space="preserve"> 31.01.2020  1 cмена  Андрей Слисарук</t>
  </si>
  <si>
    <t>Харківський прикордонний загін</t>
  </si>
  <si>
    <t>Календар квартальний 2020</t>
  </si>
  <si>
    <t xml:space="preserve">  Ролл-шаверма 2 вида по 2000</t>
  </si>
  <si>
    <t xml:space="preserve"> 31.01.2020  2 cмена  Хотинский Андрей</t>
  </si>
  <si>
    <t>Зоорегата  Поле №1 + №2 5250 листов В2 4+0 Картон 325 гр/м2</t>
  </si>
  <si>
    <t>Фальцовка ? покл. кор.(до 10см)1 точка</t>
  </si>
  <si>
    <t>Высечка В3 без нарез.каналов</t>
  </si>
  <si>
    <t>Ламинирование А2 мат (мел+офсет до 170) 1+0</t>
  </si>
  <si>
    <t>Ламинирование А3 мат. 1+1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</si>
</sst>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0000"/>
    <numFmt numFmtId="165" formatCode="dd/mm/yy\ h:mm"/>
    <numFmt numFmtId="166" formatCode="h:mm;@"/>
    <numFmt numFmtId="167" formatCode="dd/mm\,\ h:mm;@"/>
  </numFmts>
  <fonts count="37"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9"/>
      <name val="Arial Cyr"/>
      <family val="2"/>
      <charset val="204"/>
    </font>
    <font>
      <sz val="11"/>
      <color rgb="FF000000"/>
      <name val="Calibri"/>
      <family val="2"/>
      <charset val="204"/>
      <scheme val="minor"/>
    </font>
    <font>
      <b/>
      <sz val="10"/>
      <name val="Arial Cyr"/>
      <charset val="204"/>
    </font>
    <font>
      <b/>
      <sz val="12"/>
      <name val="Arial Cyr"/>
      <charset val="204"/>
    </font>
    <font>
      <b/>
      <sz val="14"/>
      <name val="Arial Cyr"/>
      <family val="2"/>
      <charset val="204"/>
    </font>
    <font>
      <b/>
      <sz val="14"/>
      <name val="Arial Cyr"/>
      <charset val="204"/>
    </font>
    <font>
      <sz val="12"/>
      <name val="Arial Cyr"/>
      <charset val="204"/>
    </font>
    <font>
      <sz val="12"/>
      <name val="Arial Cyr"/>
      <family val="2"/>
      <charset val="204"/>
    </font>
    <font>
      <b/>
      <sz val="12"/>
      <color indexed="8"/>
      <name val="Arial Cyr"/>
      <charset val="204"/>
    </font>
    <font>
      <sz val="10"/>
      <color rgb="FFFF0000"/>
      <name val="Arial Cyr"/>
      <charset val="204"/>
    </font>
    <font>
      <sz val="11"/>
      <color indexed="8"/>
      <name val="Calibri"/>
      <family val="2"/>
      <charset val="204"/>
    </font>
    <font>
      <b/>
      <sz val="9"/>
      <name val="Arial Cyr"/>
      <family val="2"/>
      <charset val="204"/>
    </font>
    <font>
      <b/>
      <sz val="10"/>
      <name val="Arial CYR"/>
      <family val="2"/>
      <charset val="204"/>
    </font>
    <font>
      <b/>
      <sz val="9"/>
      <name val="Arial"/>
      <family val="2"/>
      <charset val="204"/>
    </font>
    <font>
      <b/>
      <sz val="12"/>
      <name val="Wingdings"/>
      <charset val="2"/>
    </font>
    <font>
      <sz val="12"/>
      <name val="Wingdings"/>
      <charset val="2"/>
    </font>
    <font>
      <b/>
      <sz val="9"/>
      <name val="Arial Cyr"/>
      <charset val="204"/>
    </font>
    <font>
      <sz val="9"/>
      <name val="Arial Cyr"/>
      <charset val="204"/>
    </font>
    <font>
      <sz val="9"/>
      <name val="Arial"/>
      <family val="2"/>
      <charset val="204"/>
    </font>
    <font>
      <b/>
      <sz val="9"/>
      <name val="Wingdings"/>
      <charset val="2"/>
    </font>
    <font>
      <sz val="9"/>
      <name val="Wingdings"/>
      <charset val="2"/>
    </font>
    <font>
      <sz val="10"/>
      <name val="Arial Cyr"/>
      <family val="2"/>
      <charset val="204"/>
    </font>
    <font>
      <b/>
      <sz val="10"/>
      <name val="Wingdings"/>
      <charset val="2"/>
    </font>
    <font>
      <sz val="10"/>
      <name val="Arial"/>
      <family val="2"/>
      <charset val="204"/>
    </font>
    <font>
      <sz val="10"/>
      <name val="Wingdings"/>
      <charset val="2"/>
    </font>
    <font>
      <sz val="10"/>
      <color theme="1"/>
      <name val="Arial Cyr"/>
      <charset val="204"/>
    </font>
    <font>
      <sz val="11"/>
      <color rgb="FF000000"/>
      <name val="Times New Roman"/>
      <family val="1"/>
      <charset val="204"/>
    </font>
    <font>
      <sz val="11"/>
      <color rgb="FFFF0000"/>
      <name val="Calibri"/>
      <family val="2"/>
      <charset val="204"/>
      <scheme val="minor"/>
    </font>
    <font>
      <sz val="9"/>
      <color rgb="FFFF0000"/>
      <name val="Arial Cyr"/>
      <family val="2"/>
      <charset val="204"/>
    </font>
    <font>
      <sz val="10"/>
      <color rgb="FF444950"/>
      <name val="Arial"/>
      <family val="2"/>
      <charset val="204"/>
    </font>
    <font>
      <b/>
      <sz val="10"/>
      <name val="Arial Cyr"/>
      <charset val="1"/>
    </font>
    <font>
      <sz val="10"/>
      <name val="Arial Cyr"/>
      <charset val="1"/>
    </font>
    <font>
      <b/>
      <sz val="12"/>
      <name val="Arial Cyr"/>
      <charset val="1"/>
    </font>
    <font>
      <b/>
      <sz val="9"/>
      <color indexed="10"/>
      <name val="Arial Cyr"/>
      <charset val="1"/>
    </font>
    <font>
      <sz val="11"/>
      <name val="Calibri"/>
      <family val="2"/>
      <charset val="204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2EFD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31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0" fontId="1" fillId="0" borderId="0"/>
    <xf numFmtId="0" fontId="1" fillId="0" borderId="0"/>
    <xf numFmtId="0" fontId="1" fillId="0" borderId="0"/>
  </cellStyleXfs>
  <cellXfs count="348">
    <xf numFmtId="0" fontId="0" fillId="0" borderId="0" xfId="0"/>
    <xf numFmtId="0" fontId="2" fillId="0" borderId="0" xfId="1" applyFont="1" applyAlignment="1">
      <alignment vertical="center"/>
    </xf>
    <xf numFmtId="0" fontId="0" fillId="0" borderId="1" xfId="0" applyBorder="1" applyAlignment="1">
      <alignment horizontal="right" wrapText="1"/>
    </xf>
    <xf numFmtId="0" fontId="0" fillId="0" borderId="1" xfId="0" applyBorder="1" applyAlignment="1">
      <alignment wrapText="1"/>
    </xf>
    <xf numFmtId="0" fontId="0" fillId="0" borderId="1" xfId="0" applyBorder="1"/>
    <xf numFmtId="0" fontId="0" fillId="0" borderId="2" xfId="0" applyFill="1" applyBorder="1" applyAlignment="1">
      <alignment horizontal="right" wrapText="1"/>
    </xf>
    <xf numFmtId="0" fontId="0" fillId="0" borderId="0" xfId="0" applyFill="1" applyBorder="1" applyAlignment="1">
      <alignment horizontal="right" wrapText="1"/>
    </xf>
    <xf numFmtId="0" fontId="3" fillId="0" borderId="1" xfId="0" applyFont="1" applyBorder="1" applyAlignment="1">
      <alignment wrapText="1"/>
    </xf>
    <xf numFmtId="0" fontId="0" fillId="0" borderId="3" xfId="0" applyFill="1" applyBorder="1" applyAlignment="1">
      <alignment horizontal="right" wrapText="1"/>
    </xf>
    <xf numFmtId="0" fontId="1" fillId="0" borderId="0" xfId="2"/>
    <xf numFmtId="0" fontId="1" fillId="0" borderId="0" xfId="3" applyAlignment="1">
      <alignment horizontal="center"/>
    </xf>
    <xf numFmtId="0" fontId="1" fillId="0" borderId="0" xfId="3"/>
    <xf numFmtId="0" fontId="5" fillId="0" borderId="6" xfId="3" applyFont="1" applyBorder="1" applyAlignment="1">
      <alignment horizontal="center"/>
    </xf>
    <xf numFmtId="0" fontId="8" fillId="0" borderId="9" xfId="3" applyFont="1" applyBorder="1" applyAlignment="1">
      <alignment horizontal="center"/>
    </xf>
    <xf numFmtId="0" fontId="8" fillId="0" borderId="10" xfId="3" applyFont="1" applyBorder="1" applyAlignment="1">
      <alignment horizontal="center"/>
    </xf>
    <xf numFmtId="0" fontId="5" fillId="0" borderId="11" xfId="3" applyFont="1" applyBorder="1" applyAlignment="1">
      <alignment horizontal="center"/>
    </xf>
    <xf numFmtId="0" fontId="9" fillId="0" borderId="9" xfId="3" applyFont="1" applyFill="1" applyBorder="1" applyAlignment="1">
      <alignment vertical="center"/>
    </xf>
    <xf numFmtId="0" fontId="8" fillId="0" borderId="12" xfId="3" applyFont="1" applyBorder="1"/>
    <xf numFmtId="0" fontId="8" fillId="0" borderId="12" xfId="3" applyFont="1" applyBorder="1" applyAlignment="1">
      <alignment horizontal="center"/>
    </xf>
    <xf numFmtId="0" fontId="5" fillId="0" borderId="13" xfId="3" applyFont="1" applyBorder="1" applyAlignment="1">
      <alignment horizontal="center"/>
    </xf>
    <xf numFmtId="0" fontId="8" fillId="0" borderId="9" xfId="3" applyFont="1" applyBorder="1"/>
    <xf numFmtId="0" fontId="8" fillId="0" borderId="14" xfId="3" applyFont="1" applyBorder="1" applyAlignment="1">
      <alignment horizontal="center"/>
    </xf>
    <xf numFmtId="0" fontId="1" fillId="0" borderId="6" xfId="3" applyBorder="1"/>
    <xf numFmtId="2" fontId="1" fillId="0" borderId="15" xfId="3" applyNumberFormat="1" applyFill="1" applyBorder="1"/>
    <xf numFmtId="2" fontId="1" fillId="0" borderId="15" xfId="3" applyNumberFormat="1" applyBorder="1"/>
    <xf numFmtId="2" fontId="1" fillId="0" borderId="5" xfId="3" applyNumberFormat="1" applyBorder="1"/>
    <xf numFmtId="2" fontId="4" fillId="0" borderId="16" xfId="3" applyNumberFormat="1" applyFont="1" applyBorder="1"/>
    <xf numFmtId="2" fontId="1" fillId="0" borderId="9" xfId="3" applyNumberFormat="1" applyBorder="1"/>
    <xf numFmtId="2" fontId="1" fillId="0" borderId="17" xfId="3" applyNumberFormat="1" applyBorder="1"/>
    <xf numFmtId="2" fontId="1" fillId="0" borderId="7" xfId="3" applyNumberFormat="1" applyBorder="1"/>
    <xf numFmtId="2" fontId="1" fillId="0" borderId="18" xfId="3" applyNumberFormat="1" applyBorder="1"/>
    <xf numFmtId="2" fontId="4" fillId="0" borderId="19" xfId="3" applyNumberFormat="1" applyFont="1" applyBorder="1"/>
    <xf numFmtId="2" fontId="10" fillId="2" borderId="20" xfId="3" applyNumberFormat="1" applyFont="1" applyFill="1" applyBorder="1"/>
    <xf numFmtId="2" fontId="11" fillId="0" borderId="7" xfId="3" applyNumberFormat="1" applyFont="1" applyBorder="1"/>
    <xf numFmtId="0" fontId="2" fillId="0" borderId="5" xfId="2" applyFont="1" applyFill="1" applyBorder="1" applyAlignment="1">
      <alignment horizontal="left"/>
    </xf>
    <xf numFmtId="0" fontId="3" fillId="0" borderId="1" xfId="0" applyFont="1" applyBorder="1" applyAlignment="1">
      <alignment horizontal="right" wrapText="1"/>
    </xf>
    <xf numFmtId="0" fontId="2" fillId="0" borderId="5" xfId="2" applyFont="1" applyFill="1" applyBorder="1" applyAlignment="1">
      <alignment horizontal="left"/>
    </xf>
    <xf numFmtId="0" fontId="2" fillId="0" borderId="5" xfId="2" applyFont="1" applyFill="1" applyBorder="1" applyAlignment="1">
      <alignment horizontal="left"/>
    </xf>
    <xf numFmtId="2" fontId="1" fillId="0" borderId="15" xfId="3" applyNumberFormat="1" applyFont="1" applyBorder="1"/>
    <xf numFmtId="2" fontId="1" fillId="0" borderId="7" xfId="3" applyNumberFormat="1" applyFont="1" applyBorder="1"/>
    <xf numFmtId="2" fontId="1" fillId="0" borderId="5" xfId="3" applyNumberFormat="1" applyFont="1" applyBorder="1"/>
    <xf numFmtId="0" fontId="2" fillId="0" borderId="5" xfId="2" applyFont="1" applyFill="1" applyBorder="1" applyAlignment="1">
      <alignment horizontal="left"/>
    </xf>
    <xf numFmtId="0" fontId="3" fillId="5" borderId="1" xfId="0" applyFont="1" applyFill="1" applyBorder="1" applyAlignment="1">
      <alignment wrapText="1"/>
    </xf>
    <xf numFmtId="0" fontId="2" fillId="0" borderId="5" xfId="2" applyFont="1" applyFill="1" applyBorder="1" applyAlignment="1">
      <alignment horizontal="left"/>
    </xf>
    <xf numFmtId="0" fontId="0" fillId="0" borderId="22" xfId="0" applyBorder="1" applyAlignment="1">
      <alignment wrapText="1"/>
    </xf>
    <xf numFmtId="0" fontId="0" fillId="6" borderId="23" xfId="0" applyFill="1" applyBorder="1" applyAlignment="1">
      <alignment wrapText="1"/>
    </xf>
    <xf numFmtId="0" fontId="0" fillId="0" borderId="1" xfId="0" applyBorder="1" applyAlignment="1">
      <alignment horizontal="left" wrapText="1"/>
    </xf>
    <xf numFmtId="0" fontId="0" fillId="0" borderId="24" xfId="0" applyBorder="1" applyAlignment="1">
      <alignment wrapText="1"/>
    </xf>
    <xf numFmtId="0" fontId="0" fillId="0" borderId="25" xfId="0" applyBorder="1" applyAlignment="1">
      <alignment horizontal="right" wrapText="1"/>
    </xf>
    <xf numFmtId="0" fontId="2" fillId="0" borderId="5" xfId="2" applyFont="1" applyFill="1" applyBorder="1" applyAlignment="1">
      <alignment horizontal="left"/>
    </xf>
    <xf numFmtId="0" fontId="2" fillId="0" borderId="5" xfId="2" applyFont="1" applyFill="1" applyBorder="1" applyAlignment="1">
      <alignment horizontal="left"/>
    </xf>
    <xf numFmtId="0" fontId="1" fillId="0" borderId="0" xfId="2"/>
    <xf numFmtId="0" fontId="0" fillId="8" borderId="0" xfId="0" applyFill="1"/>
    <xf numFmtId="0" fontId="0" fillId="0" borderId="0" xfId="0"/>
    <xf numFmtId="2" fontId="27" fillId="0" borderId="7" xfId="3" applyNumberFormat="1" applyFont="1" applyBorder="1"/>
    <xf numFmtId="0" fontId="15" fillId="2" borderId="28" xfId="2" applyFont="1" applyFill="1" applyBorder="1" applyAlignment="1">
      <alignment horizontal="center" vertical="center" wrapText="1"/>
    </xf>
    <xf numFmtId="0" fontId="28" fillId="0" borderId="0" xfId="0" applyFont="1"/>
    <xf numFmtId="0" fontId="2" fillId="0" borderId="5" xfId="2" applyFont="1" applyFill="1" applyBorder="1" applyAlignment="1">
      <alignment horizontal="left"/>
    </xf>
    <xf numFmtId="0" fontId="0" fillId="0" borderId="0" xfId="0" applyBorder="1" applyAlignment="1">
      <alignment horizontal="right" wrapText="1"/>
    </xf>
    <xf numFmtId="0" fontId="2" fillId="0" borderId="5" xfId="2" applyFont="1" applyFill="1" applyBorder="1" applyAlignment="1">
      <alignment horizontal="left"/>
    </xf>
    <xf numFmtId="0" fontId="29" fillId="0" borderId="0" xfId="0" applyFont="1"/>
    <xf numFmtId="0" fontId="2" fillId="0" borderId="5" xfId="2" applyFont="1" applyFill="1" applyBorder="1" applyAlignment="1">
      <alignment horizontal="left"/>
    </xf>
    <xf numFmtId="0" fontId="2" fillId="0" borderId="5" xfId="2" applyFont="1" applyFill="1" applyBorder="1" applyAlignment="1">
      <alignment horizontal="left"/>
    </xf>
    <xf numFmtId="0" fontId="30" fillId="0" borderId="5" xfId="2" applyFont="1" applyFill="1" applyBorder="1" applyAlignment="1">
      <alignment horizontal="left"/>
    </xf>
    <xf numFmtId="0" fontId="29" fillId="0" borderId="1" xfId="0" applyFont="1" applyBorder="1" applyAlignment="1">
      <alignment horizontal="right" wrapText="1"/>
    </xf>
    <xf numFmtId="0" fontId="31" fillId="0" borderId="0" xfId="0" applyFont="1"/>
    <xf numFmtId="0" fontId="29" fillId="0" borderId="21" xfId="0" applyFont="1" applyBorder="1" applyAlignment="1">
      <alignment horizontal="right" wrapText="1"/>
    </xf>
    <xf numFmtId="0" fontId="2" fillId="0" borderId="5" xfId="2" applyFont="1" applyFill="1" applyBorder="1" applyAlignment="1">
      <alignment horizontal="left"/>
    </xf>
    <xf numFmtId="0" fontId="0" fillId="6" borderId="29" xfId="0" applyFill="1" applyBorder="1" applyAlignment="1">
      <alignment wrapText="1"/>
    </xf>
    <xf numFmtId="0" fontId="2" fillId="0" borderId="5" xfId="2" applyFont="1" applyFill="1" applyBorder="1" applyAlignment="1">
      <alignment horizontal="left"/>
    </xf>
    <xf numFmtId="0" fontId="2" fillId="0" borderId="5" xfId="2" applyFont="1" applyFill="1" applyBorder="1" applyAlignment="1">
      <alignment horizontal="left"/>
    </xf>
    <xf numFmtId="0" fontId="2" fillId="0" borderId="5" xfId="2" applyFont="1" applyFill="1" applyBorder="1" applyAlignment="1">
      <alignment horizontal="left"/>
    </xf>
    <xf numFmtId="0" fontId="2" fillId="0" borderId="5" xfId="2" applyFont="1" applyFill="1" applyBorder="1" applyAlignment="1">
      <alignment horizontal="left"/>
    </xf>
    <xf numFmtId="0" fontId="2" fillId="0" borderId="5" xfId="2" applyFont="1" applyFill="1" applyBorder="1" applyAlignment="1">
      <alignment horizontal="left"/>
    </xf>
    <xf numFmtId="2" fontId="0" fillId="0" borderId="0" xfId="0" applyNumberFormat="1"/>
    <xf numFmtId="2" fontId="27" fillId="4" borderId="15" xfId="3" applyNumberFormat="1" applyFont="1" applyFill="1" applyBorder="1"/>
    <xf numFmtId="2" fontId="27" fillId="0" borderId="15" xfId="3" applyNumberFormat="1" applyFont="1" applyBorder="1"/>
    <xf numFmtId="0" fontId="1" fillId="0" borderId="0" xfId="2"/>
    <xf numFmtId="0" fontId="14" fillId="0" borderId="4" xfId="2" applyFont="1" applyBorder="1" applyAlignment="1">
      <alignment horizontal="left" vertical="center"/>
    </xf>
    <xf numFmtId="0" fontId="13" fillId="2" borderId="26" xfId="2" applyFont="1" applyFill="1" applyBorder="1" applyAlignment="1">
      <alignment horizontal="center" vertical="center"/>
    </xf>
    <xf numFmtId="166" fontId="13" fillId="2" borderId="26" xfId="2" applyNumberFormat="1" applyFont="1" applyFill="1" applyBorder="1" applyAlignment="1">
      <alignment horizontal="center" vertical="center"/>
    </xf>
    <xf numFmtId="165" fontId="13" fillId="2" borderId="26" xfId="2" applyNumberFormat="1" applyFont="1" applyFill="1" applyBorder="1" applyAlignment="1">
      <alignment horizontal="center" vertical="center" wrapText="1"/>
    </xf>
    <xf numFmtId="0" fontId="13" fillId="2" borderId="26" xfId="2" applyFont="1" applyFill="1" applyBorder="1" applyAlignment="1">
      <alignment horizontal="center" vertical="center" wrapText="1"/>
    </xf>
    <xf numFmtId="0" fontId="14" fillId="0" borderId="4" xfId="2" applyFont="1" applyBorder="1" applyAlignment="1">
      <alignment horizontal="center" vertical="center"/>
    </xf>
    <xf numFmtId="0" fontId="13" fillId="2" borderId="26" xfId="2" applyFont="1" applyFill="1" applyBorder="1" applyAlignment="1">
      <alignment horizontal="center" vertical="center" wrapText="1" shrinkToFit="1"/>
    </xf>
    <xf numFmtId="167" fontId="13" fillId="2" borderId="26" xfId="2" applyNumberFormat="1" applyFont="1" applyFill="1" applyBorder="1" applyAlignment="1">
      <alignment horizontal="center" vertical="center"/>
    </xf>
    <xf numFmtId="0" fontId="13" fillId="2" borderId="26" xfId="2" applyNumberFormat="1" applyFont="1" applyFill="1" applyBorder="1" applyAlignment="1">
      <alignment horizontal="center" vertical="center" wrapText="1"/>
    </xf>
    <xf numFmtId="0" fontId="14" fillId="0" borderId="4" xfId="2" applyFont="1" applyBorder="1" applyAlignment="1">
      <alignment horizontal="left" vertical="center" wrapText="1"/>
    </xf>
    <xf numFmtId="0" fontId="15" fillId="2" borderId="26" xfId="2" applyFont="1" applyFill="1" applyBorder="1" applyAlignment="1">
      <alignment horizontal="center" vertical="center" wrapText="1"/>
    </xf>
    <xf numFmtId="0" fontId="15" fillId="2" borderId="5" xfId="2" applyFont="1" applyFill="1" applyBorder="1" applyAlignment="1">
      <alignment horizontal="center" vertical="center" wrapText="1"/>
    </xf>
    <xf numFmtId="0" fontId="16" fillId="2" borderId="26" xfId="2" applyFont="1" applyFill="1" applyBorder="1" applyAlignment="1">
      <alignment horizontal="center" vertical="center"/>
    </xf>
    <xf numFmtId="0" fontId="17" fillId="2" borderId="5" xfId="2" applyFont="1" applyFill="1" applyBorder="1" applyAlignment="1">
      <alignment horizontal="center" vertical="center"/>
    </xf>
    <xf numFmtId="0" fontId="14" fillId="0" borderId="4" xfId="2" applyNumberFormat="1" applyFont="1" applyBorder="1" applyAlignment="1">
      <alignment horizontal="center" vertical="center"/>
    </xf>
    <xf numFmtId="0" fontId="14" fillId="0" borderId="4" xfId="2" applyFont="1" applyBorder="1" applyAlignment="1">
      <alignment horizontal="center" vertical="center" wrapText="1"/>
    </xf>
    <xf numFmtId="0" fontId="18" fillId="2" borderId="26" xfId="2" applyFont="1" applyFill="1" applyBorder="1" applyAlignment="1">
      <alignment horizontal="center" vertical="center"/>
    </xf>
    <xf numFmtId="0" fontId="20" fillId="2" borderId="5" xfId="2" applyFont="1" applyFill="1" applyBorder="1" applyAlignment="1">
      <alignment horizontal="center" vertical="center"/>
    </xf>
    <xf numFmtId="0" fontId="21" fillId="2" borderId="26" xfId="2" applyFont="1" applyFill="1" applyBorder="1" applyAlignment="1">
      <alignment horizontal="center" vertical="center"/>
    </xf>
    <xf numFmtId="167" fontId="23" fillId="0" borderId="0" xfId="2" applyNumberFormat="1" applyFont="1" applyAlignment="1">
      <alignment vertical="center"/>
    </xf>
    <xf numFmtId="0" fontId="24" fillId="0" borderId="4" xfId="2" applyFont="1" applyBorder="1" applyAlignment="1">
      <alignment horizontal="center" vertical="center"/>
    </xf>
    <xf numFmtId="0" fontId="24" fillId="0" borderId="4" xfId="2" applyFont="1" applyBorder="1" applyAlignment="1">
      <alignment horizontal="left" vertical="center"/>
    </xf>
    <xf numFmtId="0" fontId="4" fillId="0" borderId="4" xfId="2" applyFont="1" applyBorder="1" applyAlignment="1">
      <alignment horizontal="center" vertical="center"/>
    </xf>
    <xf numFmtId="0" fontId="25" fillId="0" borderId="0" xfId="2" applyFont="1" applyAlignment="1">
      <alignment horizontal="center" vertical="center"/>
    </xf>
    <xf numFmtId="0" fontId="14" fillId="0" borderId="0" xfId="2" applyFont="1" applyBorder="1" applyAlignment="1">
      <alignment horizontal="left" vertical="center"/>
    </xf>
    <xf numFmtId="0" fontId="26" fillId="0" borderId="0" xfId="2" applyFont="1" applyAlignment="1">
      <alignment horizontal="center" vertical="center"/>
    </xf>
    <xf numFmtId="0" fontId="23" fillId="0" borderId="0" xfId="2" applyFont="1" applyAlignment="1">
      <alignment vertical="center"/>
    </xf>
    <xf numFmtId="0" fontId="1" fillId="0" borderId="0" xfId="2"/>
    <xf numFmtId="0" fontId="14" fillId="0" borderId="4" xfId="2" applyFont="1" applyBorder="1" applyAlignment="1">
      <alignment horizontal="left" vertical="center"/>
    </xf>
    <xf numFmtId="0" fontId="13" fillId="2" borderId="26" xfId="2" applyFont="1" applyFill="1" applyBorder="1" applyAlignment="1">
      <alignment horizontal="center" vertical="center"/>
    </xf>
    <xf numFmtId="166" fontId="13" fillId="2" borderId="26" xfId="2" applyNumberFormat="1" applyFont="1" applyFill="1" applyBorder="1" applyAlignment="1">
      <alignment horizontal="center" vertical="center"/>
    </xf>
    <xf numFmtId="165" fontId="13" fillId="2" borderId="26" xfId="2" applyNumberFormat="1" applyFont="1" applyFill="1" applyBorder="1" applyAlignment="1">
      <alignment horizontal="center" vertical="center" wrapText="1"/>
    </xf>
    <xf numFmtId="0" fontId="13" fillId="2" borderId="26" xfId="2" applyFont="1" applyFill="1" applyBorder="1" applyAlignment="1">
      <alignment horizontal="center" vertical="center" wrapText="1"/>
    </xf>
    <xf numFmtId="0" fontId="14" fillId="0" borderId="4" xfId="2" applyFont="1" applyBorder="1" applyAlignment="1">
      <alignment horizontal="center" vertical="center"/>
    </xf>
    <xf numFmtId="0" fontId="13" fillId="2" borderId="26" xfId="2" applyFont="1" applyFill="1" applyBorder="1" applyAlignment="1">
      <alignment horizontal="center" vertical="center" wrapText="1" shrinkToFit="1"/>
    </xf>
    <xf numFmtId="167" fontId="13" fillId="2" borderId="26" xfId="2" applyNumberFormat="1" applyFont="1" applyFill="1" applyBorder="1" applyAlignment="1">
      <alignment horizontal="center" vertical="center"/>
    </xf>
    <xf numFmtId="0" fontId="13" fillId="2" borderId="26" xfId="2" applyNumberFormat="1" applyFont="1" applyFill="1" applyBorder="1" applyAlignment="1">
      <alignment horizontal="center" vertical="center" wrapText="1"/>
    </xf>
    <xf numFmtId="0" fontId="14" fillId="0" borderId="4" xfId="2" applyFont="1" applyBorder="1" applyAlignment="1">
      <alignment horizontal="left" vertical="center" wrapText="1"/>
    </xf>
    <xf numFmtId="0" fontId="15" fillId="2" borderId="26" xfId="2" applyFont="1" applyFill="1" applyBorder="1" applyAlignment="1">
      <alignment horizontal="center" vertical="center" wrapText="1"/>
    </xf>
    <xf numFmtId="0" fontId="15" fillId="2" borderId="5" xfId="2" applyFont="1" applyFill="1" applyBorder="1" applyAlignment="1">
      <alignment horizontal="center" vertical="center" wrapText="1"/>
    </xf>
    <xf numFmtId="0" fontId="16" fillId="2" borderId="26" xfId="2" applyFont="1" applyFill="1" applyBorder="1" applyAlignment="1">
      <alignment horizontal="center" vertical="center"/>
    </xf>
    <xf numFmtId="0" fontId="17" fillId="2" borderId="5" xfId="2" applyFont="1" applyFill="1" applyBorder="1" applyAlignment="1">
      <alignment horizontal="center" vertical="center"/>
    </xf>
    <xf numFmtId="0" fontId="14" fillId="0" borderId="4" xfId="2" applyNumberFormat="1" applyFont="1" applyBorder="1" applyAlignment="1">
      <alignment horizontal="center" vertical="center"/>
    </xf>
    <xf numFmtId="0" fontId="14" fillId="0" borderId="4" xfId="2" applyFont="1" applyBorder="1" applyAlignment="1">
      <alignment horizontal="center" vertical="center" wrapText="1"/>
    </xf>
    <xf numFmtId="0" fontId="18" fillId="2" borderId="26" xfId="2" applyFont="1" applyFill="1" applyBorder="1" applyAlignment="1">
      <alignment horizontal="center" vertical="center"/>
    </xf>
    <xf numFmtId="0" fontId="20" fillId="2" borderId="5" xfId="2" applyFont="1" applyFill="1" applyBorder="1" applyAlignment="1">
      <alignment horizontal="center" vertical="center"/>
    </xf>
    <xf numFmtId="0" fontId="21" fillId="2" borderId="26" xfId="2" applyFont="1" applyFill="1" applyBorder="1" applyAlignment="1">
      <alignment horizontal="center" vertical="center"/>
    </xf>
    <xf numFmtId="167" fontId="23" fillId="0" borderId="0" xfId="2" applyNumberFormat="1" applyFont="1" applyAlignment="1">
      <alignment vertical="center"/>
    </xf>
    <xf numFmtId="0" fontId="24" fillId="0" borderId="4" xfId="2" applyFont="1" applyBorder="1" applyAlignment="1">
      <alignment horizontal="center" vertical="center"/>
    </xf>
    <xf numFmtId="0" fontId="24" fillId="0" borderId="4" xfId="2" applyFont="1" applyBorder="1" applyAlignment="1">
      <alignment horizontal="left" vertical="center"/>
    </xf>
    <xf numFmtId="0" fontId="4" fillId="0" borderId="4" xfId="2" applyFont="1" applyBorder="1" applyAlignment="1">
      <alignment horizontal="center" vertical="center"/>
    </xf>
    <xf numFmtId="0" fontId="25" fillId="0" borderId="0" xfId="2" applyFont="1" applyAlignment="1">
      <alignment horizontal="center" vertical="center"/>
    </xf>
    <xf numFmtId="0" fontId="14" fillId="0" borderId="0" xfId="2" applyFont="1" applyBorder="1" applyAlignment="1">
      <alignment horizontal="left" vertical="center"/>
    </xf>
    <xf numFmtId="0" fontId="26" fillId="0" borderId="0" xfId="2" applyFont="1" applyAlignment="1">
      <alignment horizontal="center" vertical="center"/>
    </xf>
    <xf numFmtId="0" fontId="23" fillId="0" borderId="0" xfId="2" applyFont="1" applyAlignment="1">
      <alignment vertical="center"/>
    </xf>
    <xf numFmtId="0" fontId="1" fillId="0" borderId="0" xfId="2"/>
    <xf numFmtId="0" fontId="14" fillId="0" borderId="4" xfId="2" applyFont="1" applyBorder="1" applyAlignment="1">
      <alignment horizontal="left" vertical="center"/>
    </xf>
    <xf numFmtId="0" fontId="13" fillId="2" borderId="26" xfId="2" applyFont="1" applyFill="1" applyBorder="1" applyAlignment="1">
      <alignment horizontal="center" vertical="center"/>
    </xf>
    <xf numFmtId="166" fontId="13" fillId="2" borderId="26" xfId="2" applyNumberFormat="1" applyFont="1" applyFill="1" applyBorder="1" applyAlignment="1">
      <alignment horizontal="center" vertical="center"/>
    </xf>
    <xf numFmtId="165" fontId="13" fillId="2" borderId="26" xfId="2" applyNumberFormat="1" applyFont="1" applyFill="1" applyBorder="1" applyAlignment="1">
      <alignment horizontal="center" vertical="center" wrapText="1"/>
    </xf>
    <xf numFmtId="0" fontId="13" fillId="2" borderId="26" xfId="2" applyFont="1" applyFill="1" applyBorder="1" applyAlignment="1">
      <alignment horizontal="center" vertical="center" wrapText="1"/>
    </xf>
    <xf numFmtId="0" fontId="14" fillId="0" borderId="4" xfId="2" applyFont="1" applyBorder="1" applyAlignment="1">
      <alignment horizontal="center" vertical="center"/>
    </xf>
    <xf numFmtId="0" fontId="13" fillId="2" borderId="26" xfId="2" applyFont="1" applyFill="1" applyBorder="1" applyAlignment="1">
      <alignment horizontal="center" vertical="center" wrapText="1" shrinkToFit="1"/>
    </xf>
    <xf numFmtId="167" fontId="13" fillId="2" borderId="26" xfId="2" applyNumberFormat="1" applyFont="1" applyFill="1" applyBorder="1" applyAlignment="1">
      <alignment horizontal="center" vertical="center"/>
    </xf>
    <xf numFmtId="0" fontId="13" fillId="2" borderId="26" xfId="2" applyNumberFormat="1" applyFont="1" applyFill="1" applyBorder="1" applyAlignment="1">
      <alignment horizontal="center" vertical="center" wrapText="1"/>
    </xf>
    <xf numFmtId="0" fontId="14" fillId="0" borderId="4" xfId="2" applyFont="1" applyBorder="1" applyAlignment="1">
      <alignment horizontal="left" vertical="center" wrapText="1"/>
    </xf>
    <xf numFmtId="0" fontId="15" fillId="2" borderId="26" xfId="2" applyFont="1" applyFill="1" applyBorder="1" applyAlignment="1">
      <alignment horizontal="center" vertical="center" wrapText="1"/>
    </xf>
    <xf numFmtId="0" fontId="15" fillId="2" borderId="5" xfId="2" applyFont="1" applyFill="1" applyBorder="1" applyAlignment="1">
      <alignment horizontal="center" vertical="center" wrapText="1"/>
    </xf>
    <xf numFmtId="0" fontId="16" fillId="2" borderId="26" xfId="2" applyFont="1" applyFill="1" applyBorder="1" applyAlignment="1">
      <alignment horizontal="center" vertical="center"/>
    </xf>
    <xf numFmtId="0" fontId="17" fillId="2" borderId="5" xfId="2" applyFont="1" applyFill="1" applyBorder="1" applyAlignment="1">
      <alignment horizontal="center" vertical="center"/>
    </xf>
    <xf numFmtId="0" fontId="14" fillId="0" borderId="4" xfId="2" applyNumberFormat="1" applyFont="1" applyBorder="1" applyAlignment="1">
      <alignment horizontal="center" vertical="center"/>
    </xf>
    <xf numFmtId="0" fontId="14" fillId="0" borderId="4" xfId="2" applyFont="1" applyBorder="1" applyAlignment="1">
      <alignment horizontal="center" vertical="center" wrapText="1"/>
    </xf>
    <xf numFmtId="0" fontId="18" fillId="2" borderId="26" xfId="2" applyFont="1" applyFill="1" applyBorder="1" applyAlignment="1">
      <alignment horizontal="center" vertical="center"/>
    </xf>
    <xf numFmtId="0" fontId="20" fillId="2" borderId="5" xfId="2" applyFont="1" applyFill="1" applyBorder="1" applyAlignment="1">
      <alignment horizontal="center" vertical="center"/>
    </xf>
    <xf numFmtId="0" fontId="21" fillId="2" borderId="26" xfId="2" applyFont="1" applyFill="1" applyBorder="1" applyAlignment="1">
      <alignment horizontal="center" vertical="center"/>
    </xf>
    <xf numFmtId="167" fontId="23" fillId="0" borderId="0" xfId="2" applyNumberFormat="1" applyFont="1" applyAlignment="1">
      <alignment vertical="center"/>
    </xf>
    <xf numFmtId="0" fontId="24" fillId="0" borderId="4" xfId="2" applyFont="1" applyBorder="1" applyAlignment="1">
      <alignment horizontal="center" vertical="center"/>
    </xf>
    <xf numFmtId="0" fontId="24" fillId="0" borderId="4" xfId="2" applyFont="1" applyBorder="1" applyAlignment="1">
      <alignment horizontal="left" vertical="center"/>
    </xf>
    <xf numFmtId="0" fontId="4" fillId="0" borderId="4" xfId="2" applyFont="1" applyBorder="1" applyAlignment="1">
      <alignment horizontal="center" vertical="center"/>
    </xf>
    <xf numFmtId="0" fontId="25" fillId="0" borderId="0" xfId="2" applyFont="1" applyAlignment="1">
      <alignment horizontal="center" vertical="center"/>
    </xf>
    <xf numFmtId="0" fontId="14" fillId="0" borderId="0" xfId="2" applyFont="1" applyBorder="1" applyAlignment="1">
      <alignment horizontal="left" vertical="center"/>
    </xf>
    <xf numFmtId="0" fontId="26" fillId="0" borderId="0" xfId="2" applyFont="1" applyAlignment="1">
      <alignment horizontal="center" vertical="center"/>
    </xf>
    <xf numFmtId="0" fontId="23" fillId="0" borderId="0" xfId="2" applyFont="1" applyAlignment="1">
      <alignment vertical="center"/>
    </xf>
    <xf numFmtId="0" fontId="2" fillId="0" borderId="5" xfId="2" applyFont="1" applyFill="1" applyBorder="1" applyAlignment="1">
      <alignment horizontal="left"/>
    </xf>
    <xf numFmtId="0" fontId="2" fillId="0" borderId="5" xfId="2" applyFont="1" applyFill="1" applyBorder="1" applyAlignment="1">
      <alignment horizontal="left"/>
    </xf>
    <xf numFmtId="0" fontId="29" fillId="0" borderId="0" xfId="0" applyFont="1" applyFill="1" applyBorder="1" applyAlignment="1">
      <alignment horizontal="right" wrapText="1"/>
    </xf>
    <xf numFmtId="0" fontId="2" fillId="0" borderId="5" xfId="2" applyFont="1" applyFill="1" applyBorder="1" applyAlignment="1">
      <alignment horizontal="left"/>
    </xf>
    <xf numFmtId="2" fontId="10" fillId="2" borderId="19" xfId="3" applyNumberFormat="1" applyFont="1" applyFill="1" applyBorder="1"/>
    <xf numFmtId="2" fontId="1" fillId="0" borderId="27" xfId="3" applyNumberFormat="1" applyFont="1" applyBorder="1"/>
    <xf numFmtId="2" fontId="11" fillId="0" borderId="27" xfId="3" applyNumberFormat="1" applyFont="1" applyBorder="1"/>
    <xf numFmtId="0" fontId="2" fillId="0" borderId="5" xfId="2" applyFont="1" applyFill="1" applyBorder="1" applyAlignment="1">
      <alignment horizontal="left"/>
    </xf>
    <xf numFmtId="0" fontId="2" fillId="0" borderId="5" xfId="2" applyFont="1" applyFill="1" applyBorder="1" applyAlignment="1">
      <alignment horizontal="left"/>
    </xf>
    <xf numFmtId="0" fontId="2" fillId="0" borderId="5" xfId="2" applyFont="1" applyFill="1" applyBorder="1" applyAlignment="1">
      <alignment horizontal="left"/>
    </xf>
    <xf numFmtId="0" fontId="2" fillId="0" borderId="30" xfId="2" applyFont="1" applyFill="1" applyBorder="1" applyAlignment="1">
      <alignment horizontal="left"/>
    </xf>
    <xf numFmtId="0" fontId="14" fillId="0" borderId="4" xfId="2" applyFont="1" applyBorder="1" applyAlignment="1">
      <alignment horizontal="left" vertical="center"/>
    </xf>
    <xf numFmtId="165" fontId="13" fillId="2" borderId="26" xfId="2" applyNumberFormat="1" applyFont="1" applyFill="1" applyBorder="1" applyAlignment="1">
      <alignment horizontal="center" vertical="center" wrapText="1"/>
    </xf>
    <xf numFmtId="0" fontId="14" fillId="0" borderId="4" xfId="2" applyFont="1" applyBorder="1" applyAlignment="1">
      <alignment horizontal="center" vertical="center"/>
    </xf>
    <xf numFmtId="0" fontId="3" fillId="0" borderId="0" xfId="0" applyFont="1" applyBorder="1" applyAlignment="1">
      <alignment wrapText="1"/>
    </xf>
    <xf numFmtId="165" fontId="13" fillId="2" borderId="26" xfId="2" applyNumberFormat="1" applyFont="1" applyFill="1" applyBorder="1" applyAlignment="1">
      <alignment horizontal="center" vertical="center" wrapText="1"/>
    </xf>
    <xf numFmtId="0" fontId="14" fillId="0" borderId="4" xfId="2" applyFont="1" applyBorder="1" applyAlignment="1">
      <alignment horizontal="center" vertical="center"/>
    </xf>
    <xf numFmtId="0" fontId="0" fillId="0" borderId="2" xfId="0" applyBorder="1" applyAlignment="1">
      <alignment horizontal="right" wrapText="1"/>
    </xf>
    <xf numFmtId="0" fontId="0" fillId="0" borderId="0" xfId="0" applyBorder="1" applyAlignment="1">
      <alignment wrapText="1"/>
    </xf>
    <xf numFmtId="0" fontId="2" fillId="0" borderId="5" xfId="2" applyFont="1" applyFill="1" applyBorder="1" applyAlignment="1">
      <alignment horizontal="left"/>
    </xf>
    <xf numFmtId="0" fontId="2" fillId="0" borderId="5" xfId="2" applyFont="1" applyFill="1" applyBorder="1" applyAlignment="1">
      <alignment horizontal="left"/>
    </xf>
    <xf numFmtId="0" fontId="2" fillId="0" borderId="5" xfId="2" applyFont="1" applyFill="1" applyBorder="1" applyAlignment="1">
      <alignment horizontal="left"/>
    </xf>
    <xf numFmtId="0" fontId="2" fillId="0" borderId="5" xfId="2" applyFont="1" applyFill="1" applyBorder="1" applyAlignment="1">
      <alignment horizontal="left"/>
    </xf>
    <xf numFmtId="0" fontId="2" fillId="0" borderId="5" xfId="2" applyFont="1" applyFill="1" applyBorder="1" applyAlignment="1">
      <alignment horizontal="left"/>
    </xf>
    <xf numFmtId="0" fontId="0" fillId="9" borderId="5" xfId="0" applyFill="1" applyBorder="1"/>
    <xf numFmtId="0" fontId="0" fillId="0" borderId="0" xfId="0"/>
    <xf numFmtId="0" fontId="0" fillId="10" borderId="0" xfId="0" applyFill="1"/>
    <xf numFmtId="0" fontId="36" fillId="0" borderId="0" xfId="0" applyFont="1"/>
    <xf numFmtId="0" fontId="32" fillId="0" borderId="5" xfId="2" applyFont="1" applyFill="1" applyBorder="1"/>
    <xf numFmtId="0" fontId="2" fillId="0" borderId="5" xfId="2" applyFont="1" applyFill="1" applyBorder="1" applyAlignment="1">
      <alignment horizontal="left"/>
    </xf>
    <xf numFmtId="166" fontId="2" fillId="0" borderId="5" xfId="2" applyNumberFormat="1" applyFont="1" applyFill="1" applyBorder="1" applyAlignment="1">
      <alignment horizontal="center" vertical="center"/>
    </xf>
    <xf numFmtId="20" fontId="2" fillId="0" borderId="5" xfId="2" applyNumberFormat="1" applyFont="1" applyFill="1" applyBorder="1" applyAlignment="1">
      <alignment horizontal="center" vertical="center"/>
    </xf>
    <xf numFmtId="0" fontId="2" fillId="0" borderId="5" xfId="2" applyFont="1" applyFill="1" applyBorder="1" applyAlignment="1">
      <alignment horizontal="center" vertical="center"/>
    </xf>
    <xf numFmtId="0" fontId="2" fillId="0" borderId="5" xfId="2" applyFont="1" applyFill="1" applyBorder="1" applyAlignment="1">
      <alignment horizontal="left" vertical="center" wrapText="1"/>
    </xf>
    <xf numFmtId="0" fontId="2" fillId="0" borderId="5" xfId="2" applyFont="1" applyFill="1" applyBorder="1" applyAlignment="1">
      <alignment horizontal="center" vertical="center" wrapText="1"/>
    </xf>
    <xf numFmtId="167" fontId="2" fillId="0" borderId="5" xfId="2" applyNumberFormat="1" applyFont="1" applyFill="1" applyBorder="1" applyAlignment="1">
      <alignment vertical="center"/>
    </xf>
    <xf numFmtId="0" fontId="17" fillId="0" borderId="5" xfId="2" applyFont="1" applyFill="1" applyBorder="1" applyAlignment="1">
      <alignment horizontal="center" vertical="center"/>
    </xf>
    <xf numFmtId="0" fontId="22" fillId="0" borderId="5" xfId="2" applyFont="1" applyFill="1" applyBorder="1" applyAlignment="1">
      <alignment horizontal="center" vertical="center"/>
    </xf>
    <xf numFmtId="0" fontId="19" fillId="0" borderId="5" xfId="2" applyFont="1" applyFill="1" applyBorder="1" applyAlignment="1">
      <alignment horizontal="center" vertical="center"/>
    </xf>
    <xf numFmtId="0" fontId="20" fillId="0" borderId="5" xfId="2" applyFont="1" applyFill="1" applyBorder="1" applyAlignment="1">
      <alignment horizontal="center" vertical="center"/>
    </xf>
    <xf numFmtId="0" fontId="2" fillId="0" borderId="5" xfId="2" applyFont="1" applyFill="1" applyBorder="1" applyAlignment="1">
      <alignment vertical="center"/>
    </xf>
    <xf numFmtId="166" fontId="34" fillId="0" borderId="5" xfId="2" applyNumberFormat="1" applyFont="1" applyFill="1" applyBorder="1" applyAlignment="1">
      <alignment horizontal="left" vertical="center"/>
    </xf>
    <xf numFmtId="0" fontId="33" fillId="3" borderId="5" xfId="2" applyFont="1" applyFill="1" applyBorder="1" applyAlignment="1"/>
    <xf numFmtId="164" fontId="33" fillId="3" borderId="5" xfId="2" applyNumberFormat="1" applyFont="1" applyFill="1" applyBorder="1" applyAlignment="1"/>
    <xf numFmtId="0" fontId="33" fillId="3" borderId="5" xfId="2" applyFont="1" applyFill="1" applyBorder="1" applyAlignment="1"/>
    <xf numFmtId="164" fontId="33" fillId="3" borderId="5" xfId="2" applyNumberFormat="1" applyFont="1" applyFill="1" applyBorder="1" applyAlignment="1"/>
    <xf numFmtId="166" fontId="2" fillId="0" borderId="5" xfId="2" applyNumberFormat="1" applyFont="1" applyFill="1" applyBorder="1" applyAlignment="1">
      <alignment horizontal="center" vertical="center"/>
    </xf>
    <xf numFmtId="20" fontId="2" fillId="0" borderId="5" xfId="2" applyNumberFormat="1" applyFont="1" applyFill="1" applyBorder="1" applyAlignment="1">
      <alignment horizontal="center" vertical="center"/>
    </xf>
    <xf numFmtId="0" fontId="2" fillId="0" borderId="5" xfId="2" applyFont="1" applyFill="1" applyBorder="1" applyAlignment="1">
      <alignment horizontal="center" vertical="center"/>
    </xf>
    <xf numFmtId="0" fontId="2" fillId="0" borderId="5" xfId="2" applyFont="1" applyFill="1" applyBorder="1" applyAlignment="1">
      <alignment horizontal="left" vertical="center" wrapText="1"/>
    </xf>
    <xf numFmtId="0" fontId="2" fillId="0" borderId="5" xfId="2" applyFont="1" applyFill="1" applyBorder="1" applyAlignment="1">
      <alignment horizontal="center" vertical="center" wrapText="1"/>
    </xf>
    <xf numFmtId="167" fontId="2" fillId="0" borderId="5" xfId="2" applyNumberFormat="1" applyFont="1" applyFill="1" applyBorder="1" applyAlignment="1">
      <alignment vertical="center"/>
    </xf>
    <xf numFmtId="0" fontId="17" fillId="0" borderId="5" xfId="2" applyFont="1" applyFill="1" applyBorder="1" applyAlignment="1">
      <alignment horizontal="center" vertical="center"/>
    </xf>
    <xf numFmtId="0" fontId="22" fillId="0" borderId="5" xfId="2" applyFont="1" applyFill="1" applyBorder="1" applyAlignment="1">
      <alignment horizontal="center" vertical="center"/>
    </xf>
    <xf numFmtId="0" fontId="19" fillId="0" borderId="5" xfId="2" applyFont="1" applyFill="1" applyBorder="1" applyAlignment="1">
      <alignment horizontal="center" vertical="center"/>
    </xf>
    <xf numFmtId="0" fontId="20" fillId="0" borderId="5" xfId="2" applyFont="1" applyFill="1" applyBorder="1" applyAlignment="1">
      <alignment horizontal="center" vertical="center"/>
    </xf>
    <xf numFmtId="0" fontId="2" fillId="0" borderId="5" xfId="2" applyFont="1" applyFill="1" applyBorder="1" applyAlignment="1">
      <alignment vertical="center"/>
    </xf>
    <xf numFmtId="166" fontId="34" fillId="0" borderId="5" xfId="2" applyNumberFormat="1" applyFont="1" applyFill="1" applyBorder="1" applyAlignment="1">
      <alignment horizontal="left" vertical="center"/>
    </xf>
    <xf numFmtId="166" fontId="2" fillId="0" borderId="5" xfId="2" applyNumberFormat="1" applyFont="1" applyFill="1" applyBorder="1" applyAlignment="1">
      <alignment horizontal="center" vertical="center"/>
    </xf>
    <xf numFmtId="0" fontId="2" fillId="0" borderId="5" xfId="2" applyFont="1" applyFill="1" applyBorder="1" applyAlignment="1">
      <alignment horizontal="center" vertical="center"/>
    </xf>
    <xf numFmtId="0" fontId="2" fillId="0" borderId="5" xfId="2" applyFont="1" applyFill="1" applyBorder="1" applyAlignment="1">
      <alignment horizontal="left" vertical="center" wrapText="1"/>
    </xf>
    <xf numFmtId="0" fontId="2" fillId="0" borderId="5" xfId="2" applyFont="1" applyFill="1" applyBorder="1" applyAlignment="1">
      <alignment horizontal="center" vertical="center" wrapText="1"/>
    </xf>
    <xf numFmtId="167" fontId="2" fillId="0" borderId="5" xfId="2" applyNumberFormat="1" applyFont="1" applyFill="1" applyBorder="1" applyAlignment="1">
      <alignment vertical="center"/>
    </xf>
    <xf numFmtId="0" fontId="17" fillId="0" borderId="5" xfId="2" applyFont="1" applyFill="1" applyBorder="1" applyAlignment="1">
      <alignment horizontal="center" vertical="center"/>
    </xf>
    <xf numFmtId="0" fontId="22" fillId="0" borderId="5" xfId="2" applyFont="1" applyFill="1" applyBorder="1" applyAlignment="1">
      <alignment horizontal="center" vertical="center"/>
    </xf>
    <xf numFmtId="0" fontId="19" fillId="0" borderId="5" xfId="2" applyFont="1" applyFill="1" applyBorder="1" applyAlignment="1">
      <alignment horizontal="center" vertical="center"/>
    </xf>
    <xf numFmtId="0" fontId="20" fillId="0" borderId="5" xfId="2" applyFont="1" applyFill="1" applyBorder="1" applyAlignment="1">
      <alignment horizontal="center" vertical="center"/>
    </xf>
    <xf numFmtId="0" fontId="2" fillId="0" borderId="5" xfId="2" applyFont="1" applyFill="1" applyBorder="1" applyAlignment="1">
      <alignment vertical="center"/>
    </xf>
    <xf numFmtId="20" fontId="2" fillId="0" borderId="5" xfId="2" applyNumberFormat="1" applyFont="1" applyFill="1" applyBorder="1" applyAlignment="1">
      <alignment horizontal="center" vertical="center"/>
    </xf>
    <xf numFmtId="166" fontId="34" fillId="0" borderId="5" xfId="2" applyNumberFormat="1" applyFont="1" applyFill="1" applyBorder="1" applyAlignment="1">
      <alignment horizontal="left" vertical="center"/>
    </xf>
    <xf numFmtId="166" fontId="2" fillId="0" borderId="5" xfId="2" applyNumberFormat="1" applyFont="1" applyFill="1" applyBorder="1" applyAlignment="1">
      <alignment horizontal="center" vertical="center"/>
    </xf>
    <xf numFmtId="0" fontId="2" fillId="0" borderId="5" xfId="2" applyFont="1" applyFill="1" applyBorder="1" applyAlignment="1">
      <alignment horizontal="center" vertical="center"/>
    </xf>
    <xf numFmtId="0" fontId="2" fillId="0" borderId="5" xfId="2" applyFont="1" applyFill="1" applyBorder="1" applyAlignment="1">
      <alignment horizontal="left" vertical="center" wrapText="1"/>
    </xf>
    <xf numFmtId="0" fontId="2" fillId="0" borderId="5" xfId="2" applyFont="1" applyFill="1" applyBorder="1" applyAlignment="1">
      <alignment horizontal="center" vertical="center" wrapText="1"/>
    </xf>
    <xf numFmtId="167" fontId="2" fillId="0" borderId="5" xfId="2" applyNumberFormat="1" applyFont="1" applyFill="1" applyBorder="1" applyAlignment="1">
      <alignment vertical="center"/>
    </xf>
    <xf numFmtId="0" fontId="17" fillId="0" borderId="5" xfId="2" applyFont="1" applyFill="1" applyBorder="1" applyAlignment="1">
      <alignment horizontal="center" vertical="center"/>
    </xf>
    <xf numFmtId="0" fontId="22" fillId="0" borderId="5" xfId="2" applyFont="1" applyFill="1" applyBorder="1" applyAlignment="1">
      <alignment horizontal="center" vertical="center"/>
    </xf>
    <xf numFmtId="0" fontId="19" fillId="0" borderId="5" xfId="2" applyFont="1" applyFill="1" applyBorder="1" applyAlignment="1">
      <alignment horizontal="center" vertical="center"/>
    </xf>
    <xf numFmtId="0" fontId="20" fillId="0" borderId="5" xfId="2" applyFont="1" applyFill="1" applyBorder="1" applyAlignment="1">
      <alignment horizontal="center" vertical="center"/>
    </xf>
    <xf numFmtId="0" fontId="2" fillId="0" borderId="5" xfId="2" applyFont="1" applyFill="1" applyBorder="1" applyAlignment="1">
      <alignment vertical="center"/>
    </xf>
    <xf numFmtId="20" fontId="2" fillId="0" borderId="5" xfId="2" applyNumberFormat="1" applyFont="1" applyFill="1" applyBorder="1" applyAlignment="1">
      <alignment horizontal="center" vertical="center"/>
    </xf>
    <xf numFmtId="166" fontId="34" fillId="0" borderId="5" xfId="2" applyNumberFormat="1" applyFont="1" applyFill="1" applyBorder="1" applyAlignment="1">
      <alignment horizontal="left" vertical="center"/>
    </xf>
    <xf numFmtId="166" fontId="2" fillId="0" borderId="26" xfId="2" applyNumberFormat="1" applyFont="1" applyFill="1" applyBorder="1" applyAlignment="1">
      <alignment horizontal="center" vertical="center"/>
    </xf>
    <xf numFmtId="166" fontId="2" fillId="0" borderId="8" xfId="2" applyNumberFormat="1" applyFont="1" applyFill="1" applyBorder="1" applyAlignment="1">
      <alignment horizontal="center" vertical="center"/>
    </xf>
    <xf numFmtId="0" fontId="2" fillId="0" borderId="5" xfId="2" applyFont="1" applyFill="1" applyBorder="1" applyAlignment="1">
      <alignment horizontal="left"/>
    </xf>
    <xf numFmtId="2" fontId="27" fillId="0" borderId="27" xfId="3" applyNumberFormat="1" applyFont="1" applyBorder="1"/>
    <xf numFmtId="0" fontId="0" fillId="0" borderId="0" xfId="0"/>
    <xf numFmtId="0" fontId="0" fillId="9" borderId="5" xfId="0" applyFill="1" applyBorder="1"/>
    <xf numFmtId="166" fontId="2" fillId="0" borderId="5" xfId="2" applyNumberFormat="1" applyFont="1" applyFill="1" applyBorder="1" applyAlignment="1">
      <alignment horizontal="center" vertical="center"/>
    </xf>
    <xf numFmtId="0" fontId="2" fillId="0" borderId="5" xfId="2" applyFont="1" applyFill="1" applyBorder="1" applyAlignment="1">
      <alignment horizontal="center" vertical="center"/>
    </xf>
    <xf numFmtId="0" fontId="2" fillId="0" borderId="5" xfId="2" applyFont="1" applyFill="1" applyBorder="1" applyAlignment="1">
      <alignment horizontal="left" vertical="center" wrapText="1"/>
    </xf>
    <xf numFmtId="0" fontId="2" fillId="0" borderId="5" xfId="2" applyFont="1" applyFill="1" applyBorder="1" applyAlignment="1">
      <alignment horizontal="center" vertical="center" wrapText="1"/>
    </xf>
    <xf numFmtId="167" fontId="2" fillId="0" borderId="5" xfId="2" applyNumberFormat="1" applyFont="1" applyFill="1" applyBorder="1" applyAlignment="1">
      <alignment vertical="center"/>
    </xf>
    <xf numFmtId="0" fontId="17" fillId="0" borderId="5" xfId="2" applyFont="1" applyFill="1" applyBorder="1" applyAlignment="1">
      <alignment horizontal="center" vertical="center"/>
    </xf>
    <xf numFmtId="0" fontId="22" fillId="0" borderId="5" xfId="2" applyFont="1" applyFill="1" applyBorder="1" applyAlignment="1">
      <alignment horizontal="center" vertical="center"/>
    </xf>
    <xf numFmtId="0" fontId="19" fillId="0" borderId="5" xfId="2" applyFont="1" applyFill="1" applyBorder="1" applyAlignment="1">
      <alignment horizontal="center" vertical="center"/>
    </xf>
    <xf numFmtId="0" fontId="20" fillId="0" borderId="5" xfId="2" applyFont="1" applyFill="1" applyBorder="1" applyAlignment="1">
      <alignment horizontal="center" vertical="center"/>
    </xf>
    <xf numFmtId="0" fontId="2" fillId="0" borderId="5" xfId="2" applyFont="1" applyFill="1" applyBorder="1" applyAlignment="1">
      <alignment vertical="center"/>
    </xf>
    <xf numFmtId="20" fontId="2" fillId="0" borderId="5" xfId="2" applyNumberFormat="1" applyFont="1" applyFill="1" applyBorder="1" applyAlignment="1">
      <alignment horizontal="center" vertical="center"/>
    </xf>
    <xf numFmtId="166" fontId="34" fillId="0" borderId="5" xfId="2" applyNumberFormat="1" applyFont="1" applyFill="1" applyBorder="1" applyAlignment="1">
      <alignment horizontal="left" vertical="center"/>
    </xf>
    <xf numFmtId="166" fontId="2" fillId="0" borderId="26" xfId="2" applyNumberFormat="1" applyFont="1" applyFill="1" applyBorder="1" applyAlignment="1">
      <alignment horizontal="center" vertical="center"/>
    </xf>
    <xf numFmtId="166" fontId="2" fillId="0" borderId="8" xfId="2" applyNumberFormat="1" applyFont="1" applyFill="1" applyBorder="1" applyAlignment="1">
      <alignment horizontal="center" vertical="center"/>
    </xf>
    <xf numFmtId="1" fontId="33" fillId="3" borderId="5" xfId="2" applyNumberFormat="1" applyFont="1" applyFill="1" applyBorder="1" applyAlignment="1"/>
    <xf numFmtId="0" fontId="33" fillId="3" borderId="5" xfId="2" applyFont="1" applyFill="1" applyBorder="1" applyAlignment="1"/>
    <xf numFmtId="166" fontId="2" fillId="0" borderId="5" xfId="2" applyNumberFormat="1" applyFont="1" applyFill="1" applyBorder="1" applyAlignment="1">
      <alignment horizontal="center" vertical="center"/>
    </xf>
    <xf numFmtId="0" fontId="2" fillId="0" borderId="5" xfId="2" applyFont="1" applyFill="1" applyBorder="1" applyAlignment="1">
      <alignment horizontal="center" vertical="center"/>
    </xf>
    <xf numFmtId="0" fontId="2" fillId="0" borderId="5" xfId="2" applyFont="1" applyFill="1" applyBorder="1" applyAlignment="1">
      <alignment horizontal="left" vertical="center" wrapText="1"/>
    </xf>
    <xf numFmtId="0" fontId="2" fillId="0" borderId="5" xfId="2" applyFont="1" applyFill="1" applyBorder="1" applyAlignment="1">
      <alignment horizontal="center" vertical="center" wrapText="1"/>
    </xf>
    <xf numFmtId="167" fontId="2" fillId="0" borderId="5" xfId="2" applyNumberFormat="1" applyFont="1" applyFill="1" applyBorder="1" applyAlignment="1">
      <alignment vertical="center"/>
    </xf>
    <xf numFmtId="0" fontId="17" fillId="0" borderId="5" xfId="2" applyFont="1" applyFill="1" applyBorder="1" applyAlignment="1">
      <alignment horizontal="center" vertical="center"/>
    </xf>
    <xf numFmtId="0" fontId="22" fillId="0" borderId="5" xfId="2" applyFont="1" applyFill="1" applyBorder="1" applyAlignment="1">
      <alignment horizontal="center" vertical="center"/>
    </xf>
    <xf numFmtId="0" fontId="19" fillId="0" borderId="5" xfId="2" applyFont="1" applyFill="1" applyBorder="1" applyAlignment="1">
      <alignment horizontal="center" vertical="center"/>
    </xf>
    <xf numFmtId="0" fontId="20" fillId="0" borderId="5" xfId="2" applyFont="1" applyFill="1" applyBorder="1" applyAlignment="1">
      <alignment horizontal="center" vertical="center"/>
    </xf>
    <xf numFmtId="0" fontId="2" fillId="0" borderId="5" xfId="2" applyFont="1" applyFill="1" applyBorder="1" applyAlignment="1">
      <alignment vertical="center"/>
    </xf>
    <xf numFmtId="20" fontId="2" fillId="0" borderId="5" xfId="2" applyNumberFormat="1" applyFont="1" applyFill="1" applyBorder="1" applyAlignment="1">
      <alignment horizontal="center" vertical="center"/>
    </xf>
    <xf numFmtId="166" fontId="34" fillId="0" borderId="5" xfId="2" applyNumberFormat="1" applyFont="1" applyFill="1" applyBorder="1" applyAlignment="1">
      <alignment horizontal="left" vertical="center"/>
    </xf>
    <xf numFmtId="166" fontId="2" fillId="0" borderId="5" xfId="2" applyNumberFormat="1" applyFont="1" applyFill="1" applyBorder="1" applyAlignment="1">
      <alignment horizontal="center" vertical="center"/>
    </xf>
    <xf numFmtId="20" fontId="2" fillId="0" borderId="5" xfId="2" applyNumberFormat="1" applyFont="1" applyFill="1" applyBorder="1" applyAlignment="1">
      <alignment horizontal="center" vertical="center"/>
    </xf>
    <xf numFmtId="0" fontId="2" fillId="0" borderId="5" xfId="2" applyFont="1" applyFill="1" applyBorder="1" applyAlignment="1">
      <alignment horizontal="center" vertical="center"/>
    </xf>
    <xf numFmtId="0" fontId="2" fillId="0" borderId="5" xfId="2" applyFont="1" applyFill="1" applyBorder="1" applyAlignment="1">
      <alignment horizontal="left" vertical="center" wrapText="1"/>
    </xf>
    <xf numFmtId="0" fontId="2" fillId="0" borderId="5" xfId="2" applyFont="1" applyFill="1" applyBorder="1" applyAlignment="1">
      <alignment horizontal="center" vertical="center" wrapText="1"/>
    </xf>
    <xf numFmtId="167" fontId="2" fillId="0" borderId="5" xfId="2" applyNumberFormat="1" applyFont="1" applyFill="1" applyBorder="1" applyAlignment="1">
      <alignment vertical="center"/>
    </xf>
    <xf numFmtId="0" fontId="17" fillId="0" borderId="5" xfId="2" applyFont="1" applyFill="1" applyBorder="1" applyAlignment="1">
      <alignment horizontal="center" vertical="center"/>
    </xf>
    <xf numFmtId="0" fontId="22" fillId="0" borderId="5" xfId="2" applyFont="1" applyFill="1" applyBorder="1" applyAlignment="1">
      <alignment horizontal="center" vertical="center"/>
    </xf>
    <xf numFmtId="0" fontId="19" fillId="0" borderId="5" xfId="2" applyFont="1" applyFill="1" applyBorder="1" applyAlignment="1">
      <alignment horizontal="center" vertical="center"/>
    </xf>
    <xf numFmtId="0" fontId="20" fillId="0" borderId="5" xfId="2" applyFont="1" applyFill="1" applyBorder="1" applyAlignment="1">
      <alignment horizontal="center" vertical="center"/>
    </xf>
    <xf numFmtId="0" fontId="2" fillId="0" borderId="5" xfId="2" applyFont="1" applyFill="1" applyBorder="1" applyAlignment="1">
      <alignment vertical="center"/>
    </xf>
    <xf numFmtId="166" fontId="34" fillId="0" borderId="5" xfId="2" applyNumberFormat="1" applyFont="1" applyFill="1" applyBorder="1" applyAlignment="1">
      <alignment horizontal="left" vertical="center"/>
    </xf>
    <xf numFmtId="166" fontId="2" fillId="0" borderId="5" xfId="2" applyNumberFormat="1" applyFont="1" applyFill="1" applyBorder="1" applyAlignment="1">
      <alignment horizontal="center" vertical="center"/>
    </xf>
    <xf numFmtId="20" fontId="2" fillId="0" borderId="5" xfId="2" applyNumberFormat="1" applyFont="1" applyFill="1" applyBorder="1" applyAlignment="1">
      <alignment horizontal="center" vertical="center"/>
    </xf>
    <xf numFmtId="0" fontId="2" fillId="0" borderId="5" xfId="2" applyFont="1" applyFill="1" applyBorder="1" applyAlignment="1">
      <alignment horizontal="center" vertical="center"/>
    </xf>
    <xf numFmtId="0" fontId="2" fillId="0" borderId="5" xfId="2" applyFont="1" applyFill="1" applyBorder="1" applyAlignment="1">
      <alignment horizontal="left" vertical="center" wrapText="1"/>
    </xf>
    <xf numFmtId="0" fontId="2" fillId="0" borderId="5" xfId="2" applyFont="1" applyFill="1" applyBorder="1" applyAlignment="1">
      <alignment horizontal="center" vertical="center" wrapText="1"/>
    </xf>
    <xf numFmtId="167" fontId="2" fillId="0" borderId="5" xfId="2" applyNumberFormat="1" applyFont="1" applyFill="1" applyBorder="1" applyAlignment="1">
      <alignment vertical="center"/>
    </xf>
    <xf numFmtId="0" fontId="17" fillId="0" borderId="5" xfId="2" applyFont="1" applyFill="1" applyBorder="1" applyAlignment="1">
      <alignment horizontal="center" vertical="center"/>
    </xf>
    <xf numFmtId="0" fontId="22" fillId="0" borderId="5" xfId="2" applyFont="1" applyFill="1" applyBorder="1" applyAlignment="1">
      <alignment horizontal="center" vertical="center"/>
    </xf>
    <xf numFmtId="0" fontId="19" fillId="0" borderId="5" xfId="2" applyFont="1" applyFill="1" applyBorder="1" applyAlignment="1">
      <alignment horizontal="center" vertical="center"/>
    </xf>
    <xf numFmtId="0" fontId="20" fillId="0" borderId="5" xfId="2" applyFont="1" applyFill="1" applyBorder="1" applyAlignment="1">
      <alignment horizontal="center" vertical="center"/>
    </xf>
    <xf numFmtId="0" fontId="2" fillId="0" borderId="5" xfId="2" applyFont="1" applyFill="1" applyBorder="1" applyAlignment="1">
      <alignment vertical="center"/>
    </xf>
    <xf numFmtId="166" fontId="34" fillId="0" borderId="5" xfId="2" applyNumberFormat="1" applyFont="1" applyFill="1" applyBorder="1" applyAlignment="1">
      <alignment horizontal="left" vertical="center"/>
    </xf>
    <xf numFmtId="166" fontId="2" fillId="0" borderId="5" xfId="2" applyNumberFormat="1" applyFont="1" applyFill="1" applyBorder="1" applyAlignment="1">
      <alignment horizontal="center" vertical="center"/>
    </xf>
    <xf numFmtId="0" fontId="2" fillId="0" borderId="5" xfId="2" applyFont="1" applyFill="1" applyBorder="1" applyAlignment="1">
      <alignment horizontal="center" vertical="center"/>
    </xf>
    <xf numFmtId="0" fontId="2" fillId="0" borderId="5" xfId="2" applyFont="1" applyFill="1" applyBorder="1" applyAlignment="1">
      <alignment horizontal="left" vertical="center" wrapText="1"/>
    </xf>
    <xf numFmtId="0" fontId="2" fillId="0" borderId="5" xfId="2" applyFont="1" applyFill="1" applyBorder="1" applyAlignment="1">
      <alignment horizontal="center" vertical="center" wrapText="1"/>
    </xf>
    <xf numFmtId="167" fontId="2" fillId="0" borderId="5" xfId="2" applyNumberFormat="1" applyFont="1" applyFill="1" applyBorder="1" applyAlignment="1">
      <alignment vertical="center"/>
    </xf>
    <xf numFmtId="0" fontId="17" fillId="0" borderId="5" xfId="2" applyFont="1" applyFill="1" applyBorder="1" applyAlignment="1">
      <alignment horizontal="center" vertical="center"/>
    </xf>
    <xf numFmtId="0" fontId="22" fillId="0" borderId="5" xfId="2" applyFont="1" applyFill="1" applyBorder="1" applyAlignment="1">
      <alignment horizontal="center" vertical="center"/>
    </xf>
    <xf numFmtId="0" fontId="19" fillId="0" borderId="5" xfId="2" applyFont="1" applyFill="1" applyBorder="1" applyAlignment="1">
      <alignment horizontal="center" vertical="center"/>
    </xf>
    <xf numFmtId="0" fontId="20" fillId="0" borderId="5" xfId="2" applyFont="1" applyFill="1" applyBorder="1" applyAlignment="1">
      <alignment horizontal="center" vertical="center"/>
    </xf>
    <xf numFmtId="0" fontId="2" fillId="0" borderId="5" xfId="2" applyFont="1" applyFill="1" applyBorder="1" applyAlignment="1">
      <alignment vertical="center"/>
    </xf>
    <xf numFmtId="20" fontId="2" fillId="0" borderId="5" xfId="2" applyNumberFormat="1" applyFont="1" applyFill="1" applyBorder="1" applyAlignment="1">
      <alignment horizontal="center" vertical="center"/>
    </xf>
    <xf numFmtId="166" fontId="34" fillId="0" borderId="5" xfId="2" applyNumberFormat="1" applyFont="1" applyFill="1" applyBorder="1" applyAlignment="1">
      <alignment horizontal="left" vertical="center"/>
    </xf>
    <xf numFmtId="0" fontId="2" fillId="0" borderId="0" xfId="2" applyFont="1" applyFill="1" applyBorder="1" applyAlignment="1">
      <alignment horizontal="left"/>
    </xf>
    <xf numFmtId="166" fontId="2" fillId="0" borderId="5" xfId="2" applyNumberFormat="1" applyFont="1" applyFill="1" applyBorder="1" applyAlignment="1">
      <alignment horizontal="center" vertical="center"/>
    </xf>
    <xf numFmtId="20" fontId="2" fillId="0" borderId="5" xfId="2" applyNumberFormat="1" applyFont="1" applyFill="1" applyBorder="1" applyAlignment="1">
      <alignment horizontal="center" vertical="center"/>
    </xf>
    <xf numFmtId="0" fontId="2" fillId="0" borderId="5" xfId="2" applyFont="1" applyFill="1" applyBorder="1" applyAlignment="1">
      <alignment horizontal="center" vertical="center"/>
    </xf>
    <xf numFmtId="0" fontId="2" fillId="0" borderId="5" xfId="2" applyFont="1" applyFill="1" applyBorder="1" applyAlignment="1">
      <alignment horizontal="left" vertical="center" wrapText="1"/>
    </xf>
    <xf numFmtId="0" fontId="2" fillId="0" borderId="5" xfId="2" applyFont="1" applyFill="1" applyBorder="1" applyAlignment="1">
      <alignment horizontal="center" vertical="center" wrapText="1"/>
    </xf>
    <xf numFmtId="167" fontId="2" fillId="0" borderId="5" xfId="2" applyNumberFormat="1" applyFont="1" applyFill="1" applyBorder="1" applyAlignment="1">
      <alignment vertical="center"/>
    </xf>
    <xf numFmtId="0" fontId="17" fillId="0" borderId="5" xfId="2" applyFont="1" applyFill="1" applyBorder="1" applyAlignment="1">
      <alignment horizontal="center" vertical="center"/>
    </xf>
    <xf numFmtId="0" fontId="22" fillId="0" borderId="5" xfId="2" applyFont="1" applyFill="1" applyBorder="1" applyAlignment="1">
      <alignment horizontal="center" vertical="center"/>
    </xf>
    <xf numFmtId="0" fontId="19" fillId="0" borderId="5" xfId="2" applyFont="1" applyFill="1" applyBorder="1" applyAlignment="1">
      <alignment horizontal="center" vertical="center"/>
    </xf>
    <xf numFmtId="0" fontId="20" fillId="0" borderId="5" xfId="2" applyFont="1" applyFill="1" applyBorder="1" applyAlignment="1">
      <alignment horizontal="center" vertical="center"/>
    </xf>
    <xf numFmtId="0" fontId="2" fillId="0" borderId="5" xfId="2" applyFont="1" applyFill="1" applyBorder="1" applyAlignment="1">
      <alignment vertical="center"/>
    </xf>
    <xf numFmtId="166" fontId="34" fillId="0" borderId="5" xfId="2" applyNumberFormat="1" applyFont="1" applyFill="1" applyBorder="1" applyAlignment="1">
      <alignment horizontal="left" vertical="center"/>
    </xf>
    <xf numFmtId="0" fontId="2" fillId="0" borderId="5" xfId="2" applyFont="1" applyFill="1" applyBorder="1" applyAlignment="1">
      <alignment horizontal="left"/>
    </xf>
    <xf numFmtId="0" fontId="2" fillId="0" borderId="5" xfId="2" applyFont="1" applyFill="1" applyBorder="1" applyAlignment="1">
      <alignment horizontal="left"/>
    </xf>
    <xf numFmtId="0" fontId="2" fillId="0" borderId="5" xfId="2" applyFont="1" applyFill="1" applyBorder="1" applyAlignment="1">
      <alignment horizontal="left"/>
    </xf>
    <xf numFmtId="0" fontId="34" fillId="7" borderId="6" xfId="2" applyFont="1" applyFill="1" applyBorder="1" applyAlignment="1">
      <alignment horizontal="center" vertical="center"/>
    </xf>
    <xf numFmtId="0" fontId="2" fillId="0" borderId="27" xfId="2" applyFont="1" applyFill="1" applyBorder="1" applyAlignment="1">
      <alignment horizontal="center" vertical="center"/>
    </xf>
    <xf numFmtId="0" fontId="2" fillId="0" borderId="7" xfId="2" applyFont="1" applyFill="1" applyBorder="1" applyAlignment="1">
      <alignment horizontal="center" vertical="center"/>
    </xf>
    <xf numFmtId="166" fontId="34" fillId="0" borderId="6" xfId="2" applyNumberFormat="1" applyFont="1" applyFill="1" applyBorder="1" applyAlignment="1">
      <alignment horizontal="left" vertical="center"/>
    </xf>
    <xf numFmtId="166" fontId="34" fillId="0" borderId="27" xfId="2" applyNumberFormat="1" applyFont="1" applyFill="1" applyBorder="1" applyAlignment="1">
      <alignment horizontal="left" vertical="center"/>
    </xf>
    <xf numFmtId="166" fontId="2" fillId="0" borderId="27" xfId="2" applyNumberFormat="1" applyFont="1" applyFill="1" applyBorder="1" applyAlignment="1">
      <alignment horizontal="center" vertical="center"/>
    </xf>
    <xf numFmtId="166" fontId="2" fillId="0" borderId="7" xfId="2" applyNumberFormat="1" applyFont="1" applyFill="1" applyBorder="1" applyAlignment="1">
      <alignment horizontal="center" vertical="center"/>
    </xf>
    <xf numFmtId="166" fontId="2" fillId="0" borderId="26" xfId="2" applyNumberFormat="1" applyFont="1" applyFill="1" applyBorder="1" applyAlignment="1">
      <alignment horizontal="center" vertical="center"/>
    </xf>
    <xf numFmtId="166" fontId="2" fillId="0" borderId="8" xfId="2" applyNumberFormat="1" applyFont="1" applyFill="1" applyBorder="1" applyAlignment="1">
      <alignment horizontal="center" vertical="center"/>
    </xf>
    <xf numFmtId="20" fontId="2" fillId="0" borderId="26" xfId="2" applyNumberFormat="1" applyFont="1" applyFill="1" applyBorder="1" applyAlignment="1">
      <alignment horizontal="center" vertical="center"/>
    </xf>
    <xf numFmtId="20" fontId="2" fillId="0" borderId="8" xfId="2" applyNumberFormat="1" applyFont="1" applyFill="1" applyBorder="1" applyAlignment="1">
      <alignment horizontal="center" vertical="center"/>
    </xf>
    <xf numFmtId="0" fontId="2" fillId="0" borderId="26" xfId="2" applyFont="1" applyFill="1" applyBorder="1" applyAlignment="1">
      <alignment horizontal="center" vertical="center"/>
    </xf>
    <xf numFmtId="0" fontId="2" fillId="0" borderId="8" xfId="2" applyFont="1" applyFill="1" applyBorder="1" applyAlignment="1">
      <alignment horizontal="center" vertical="center"/>
    </xf>
    <xf numFmtId="0" fontId="35" fillId="0" borderId="6" xfId="2" applyFont="1" applyFill="1" applyBorder="1" applyAlignment="1">
      <alignment horizontal="left" vertical="center" wrapText="1"/>
    </xf>
    <xf numFmtId="0" fontId="2" fillId="0" borderId="27" xfId="2" applyFont="1" applyFill="1" applyBorder="1" applyAlignment="1">
      <alignment horizontal="left" vertical="center" wrapText="1"/>
    </xf>
    <xf numFmtId="0" fontId="2" fillId="0" borderId="7" xfId="2" applyFont="1" applyFill="1" applyBorder="1" applyAlignment="1">
      <alignment horizontal="left" vertical="center" wrapText="1"/>
    </xf>
    <xf numFmtId="2" fontId="7" fillId="0" borderId="0" xfId="3" applyNumberFormat="1" applyFont="1" applyBorder="1" applyAlignment="1">
      <alignment horizontal="center" vertical="center"/>
    </xf>
    <xf numFmtId="2" fontId="7" fillId="0" borderId="4" xfId="3" applyNumberFormat="1" applyFont="1" applyBorder="1" applyAlignment="1">
      <alignment horizontal="center" vertical="center"/>
    </xf>
    <xf numFmtId="0" fontId="6" fillId="0" borderId="0" xfId="2" applyFont="1" applyAlignment="1">
      <alignment horizontal="left" vertical="center" wrapText="1"/>
    </xf>
  </cellXfs>
  <cellStyles count="4">
    <cellStyle name="Обычный" xfId="0" builtinId="0"/>
    <cellStyle name="Обычный 2" xfId="2"/>
    <cellStyle name="Обычный_Лист3" xfId="1"/>
    <cellStyle name="Обычный_печатный" xfId="3"/>
  </cellStyles>
  <dxfs count="0"/>
  <tableStyles count="0" defaultTableStyle="TableStyleMedium2" defaultPivotStyle="PivotStyleLight16"/>
  <colors>
    <mruColors>
      <color rgb="FFCCCCFF"/>
      <color rgb="FF9999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86"/>
  <sheetViews>
    <sheetView tabSelected="1" workbookViewId="0">
      <selection activeCell="E21" sqref="E21:U21"/>
    </sheetView>
  </sheetViews>
  <sheetFormatPr defaultRowHeight="15"/>
  <cols>
    <col min="3" max="3" width="9.140625" style="53"/>
    <col min="7" max="7" width="15" customWidth="1"/>
    <col min="9" max="9" width="10.5703125" customWidth="1"/>
    <col min="21" max="21" width="12.42578125" customWidth="1"/>
    <col min="22" max="22" width="14.7109375" customWidth="1"/>
    <col min="23" max="23" width="12" bestFit="1" customWidth="1"/>
  </cols>
  <sheetData>
    <row r="1" spans="1:23">
      <c r="A1" s="78" t="s">
        <v>223</v>
      </c>
      <c r="B1" s="83"/>
      <c r="C1" s="174"/>
      <c r="D1" s="92"/>
      <c r="E1" s="83"/>
      <c r="F1" s="87"/>
      <c r="G1" s="87"/>
      <c r="H1" s="93"/>
      <c r="I1" s="97"/>
      <c r="J1" s="98"/>
      <c r="K1" s="78"/>
      <c r="L1" s="99"/>
      <c r="M1" s="100"/>
      <c r="N1" s="87"/>
      <c r="O1" s="83"/>
      <c r="P1" s="83"/>
      <c r="Q1" s="101"/>
      <c r="R1" s="78"/>
      <c r="S1" s="102"/>
      <c r="T1" s="103"/>
      <c r="U1" s="104"/>
    </row>
    <row r="2" spans="1:23" ht="24">
      <c r="A2" s="80" t="s">
        <v>150</v>
      </c>
      <c r="B2" s="81" t="s">
        <v>151</v>
      </c>
      <c r="C2" s="173"/>
      <c r="D2" s="86" t="s">
        <v>152</v>
      </c>
      <c r="E2" s="84" t="s">
        <v>153</v>
      </c>
      <c r="F2" s="82" t="s">
        <v>154</v>
      </c>
      <c r="G2" s="82" t="s">
        <v>155</v>
      </c>
      <c r="H2" s="82" t="s">
        <v>156</v>
      </c>
      <c r="I2" s="85" t="s">
        <v>157</v>
      </c>
      <c r="J2" s="88" t="s">
        <v>158</v>
      </c>
      <c r="K2" s="79" t="s">
        <v>159</v>
      </c>
      <c r="L2" s="88" t="s">
        <v>160</v>
      </c>
      <c r="M2" s="94" t="s">
        <v>161</v>
      </c>
      <c r="N2" s="82" t="s">
        <v>162</v>
      </c>
      <c r="O2" s="79" t="s">
        <v>163</v>
      </c>
      <c r="P2" s="82" t="s">
        <v>164</v>
      </c>
      <c r="Q2" s="89" t="s">
        <v>165</v>
      </c>
      <c r="R2" s="82" t="s">
        <v>166</v>
      </c>
      <c r="S2" s="82" t="s">
        <v>167</v>
      </c>
      <c r="T2" s="89" t="s">
        <v>168</v>
      </c>
      <c r="U2" s="89" t="s">
        <v>169</v>
      </c>
      <c r="V2" s="55" t="s">
        <v>208</v>
      </c>
      <c r="W2" s="55" t="s">
        <v>63</v>
      </c>
    </row>
    <row r="3" spans="1:23">
      <c r="A3" s="80"/>
      <c r="B3" s="81"/>
      <c r="C3" s="173"/>
      <c r="D3" s="86"/>
      <c r="E3" s="79"/>
      <c r="F3" s="82"/>
      <c r="G3" s="82"/>
      <c r="H3" s="82"/>
      <c r="I3" s="85"/>
      <c r="J3" s="90"/>
      <c r="K3" s="79"/>
      <c r="L3" s="96"/>
      <c r="M3" s="94"/>
      <c r="N3" s="82"/>
      <c r="O3" s="79"/>
      <c r="P3" s="79"/>
      <c r="Q3" s="95"/>
      <c r="R3" s="79"/>
      <c r="S3" s="79"/>
      <c r="T3" s="91"/>
      <c r="U3" s="77"/>
      <c r="V3" s="53"/>
      <c r="W3" s="53"/>
    </row>
    <row r="4" spans="1:23" ht="15.75">
      <c r="A4" s="230">
        <v>43800.333333333336</v>
      </c>
      <c r="B4" s="332" t="s">
        <v>340</v>
      </c>
      <c r="C4" s="333"/>
      <c r="D4" s="334"/>
      <c r="E4" s="334"/>
      <c r="F4" s="334"/>
      <c r="G4" s="334"/>
      <c r="H4" s="334"/>
      <c r="I4" s="334"/>
      <c r="J4" s="334"/>
      <c r="K4" s="334"/>
      <c r="L4" s="334"/>
      <c r="M4" s="334"/>
      <c r="N4" s="334"/>
      <c r="O4" s="334"/>
      <c r="P4" s="334"/>
      <c r="Q4" s="334"/>
      <c r="R4" s="334"/>
      <c r="S4" s="334"/>
      <c r="T4" s="334"/>
      <c r="U4" s="335"/>
      <c r="V4" s="186" t="e">
        <f>VLOOKUP(E4,Лист4!A$2:G$499,7)</f>
        <v>#N/A</v>
      </c>
      <c r="W4" s="186" t="e">
        <f>IF(ISNA(V4),VLOOKUP(E4,категория!A$16:C$41,3,),11.12+R4*8.333/VLOOKUP(V4,категория!A$16:C$41,2,))</f>
        <v>#N/A</v>
      </c>
    </row>
    <row r="5" spans="1:23" ht="15.75">
      <c r="A5" s="219"/>
      <c r="B5" s="219"/>
      <c r="C5" s="219"/>
      <c r="D5" s="229"/>
      <c r="E5" s="329"/>
      <c r="F5" s="330"/>
      <c r="G5" s="330"/>
      <c r="H5" s="330"/>
      <c r="I5" s="330"/>
      <c r="J5" s="330"/>
      <c r="K5" s="330"/>
      <c r="L5" s="330"/>
      <c r="M5" s="330"/>
      <c r="N5" s="330"/>
      <c r="O5" s="330"/>
      <c r="P5" s="330"/>
      <c r="Q5" s="330"/>
      <c r="R5" s="330"/>
      <c r="S5" s="330"/>
      <c r="T5" s="330"/>
      <c r="U5" s="331"/>
      <c r="V5" s="186"/>
      <c r="W5" s="186"/>
    </row>
    <row r="6" spans="1:23">
      <c r="A6" s="219"/>
      <c r="B6" s="219"/>
      <c r="C6" s="219"/>
      <c r="D6" s="229"/>
      <c r="E6" s="220"/>
      <c r="F6" s="221"/>
      <c r="G6" s="221"/>
      <c r="H6" s="222"/>
      <c r="I6" s="223"/>
      <c r="J6" s="224"/>
      <c r="K6" s="220"/>
      <c r="L6" s="225"/>
      <c r="M6" s="226"/>
      <c r="N6" s="221"/>
      <c r="O6" s="220"/>
      <c r="P6" s="220"/>
      <c r="Q6" s="227"/>
      <c r="R6" s="228"/>
      <c r="S6" s="228"/>
      <c r="T6" s="224"/>
      <c r="U6" s="228"/>
      <c r="V6" s="186"/>
      <c r="W6" s="186"/>
    </row>
    <row r="7" spans="1:23" ht="15.75">
      <c r="A7" s="219"/>
      <c r="B7" s="219"/>
      <c r="C7" s="219"/>
      <c r="D7" s="229"/>
      <c r="E7" s="329"/>
      <c r="F7" s="330"/>
      <c r="G7" s="330"/>
      <c r="H7" s="330"/>
      <c r="I7" s="330"/>
      <c r="J7" s="330"/>
      <c r="K7" s="330"/>
      <c r="L7" s="330"/>
      <c r="M7" s="330"/>
      <c r="N7" s="330"/>
      <c r="O7" s="330"/>
      <c r="P7" s="330"/>
      <c r="Q7" s="330"/>
      <c r="R7" s="330"/>
      <c r="S7" s="330"/>
      <c r="T7" s="330"/>
      <c r="U7" s="331"/>
      <c r="V7" s="186"/>
      <c r="W7" s="186"/>
    </row>
    <row r="8" spans="1:23" ht="15.75">
      <c r="A8" s="219"/>
      <c r="B8" s="219"/>
      <c r="C8" s="219"/>
      <c r="D8" s="229"/>
      <c r="E8" s="329"/>
      <c r="F8" s="330"/>
      <c r="G8" s="330"/>
      <c r="H8" s="330"/>
      <c r="I8" s="330"/>
      <c r="J8" s="330"/>
      <c r="K8" s="330"/>
      <c r="L8" s="330"/>
      <c r="M8" s="330"/>
      <c r="N8" s="330"/>
      <c r="O8" s="330"/>
      <c r="P8" s="330"/>
      <c r="Q8" s="330"/>
      <c r="R8" s="330"/>
      <c r="S8" s="330"/>
      <c r="T8" s="330"/>
      <c r="U8" s="331"/>
      <c r="V8" s="186"/>
      <c r="W8" s="186"/>
    </row>
    <row r="9" spans="1:23" ht="15.75">
      <c r="A9" s="219"/>
      <c r="B9" s="219"/>
      <c r="C9" s="219"/>
      <c r="D9" s="229"/>
      <c r="E9" s="329"/>
      <c r="F9" s="330"/>
      <c r="G9" s="330"/>
      <c r="H9" s="330"/>
      <c r="I9" s="330"/>
      <c r="J9" s="330"/>
      <c r="K9" s="330"/>
      <c r="L9" s="330"/>
      <c r="M9" s="330"/>
      <c r="N9" s="330"/>
      <c r="O9" s="330"/>
      <c r="P9" s="330"/>
      <c r="Q9" s="330"/>
      <c r="R9" s="330"/>
      <c r="S9" s="330"/>
      <c r="T9" s="330"/>
      <c r="U9" s="331"/>
      <c r="V9" s="186"/>
      <c r="W9" s="186"/>
    </row>
    <row r="10" spans="1:23">
      <c r="A10" s="336"/>
      <c r="B10" s="336"/>
      <c r="C10" s="219"/>
      <c r="D10" s="338"/>
      <c r="E10" s="340"/>
      <c r="F10" s="221"/>
      <c r="G10" s="221"/>
      <c r="H10" s="222"/>
      <c r="I10" s="223"/>
      <c r="J10" s="224"/>
      <c r="K10" s="220"/>
      <c r="L10" s="225"/>
      <c r="M10" s="226"/>
      <c r="N10" s="221"/>
      <c r="O10" s="220"/>
      <c r="P10" s="220"/>
      <c r="Q10" s="227"/>
      <c r="R10" s="228"/>
      <c r="S10" s="228"/>
      <c r="T10" s="224"/>
      <c r="U10" s="228"/>
      <c r="V10" s="186"/>
      <c r="W10" s="186"/>
    </row>
    <row r="11" spans="1:23">
      <c r="A11" s="337"/>
      <c r="B11" s="337"/>
      <c r="C11" s="219"/>
      <c r="D11" s="339"/>
      <c r="E11" s="341"/>
      <c r="F11" s="342"/>
      <c r="G11" s="343"/>
      <c r="H11" s="343"/>
      <c r="I11" s="343"/>
      <c r="J11" s="343"/>
      <c r="K11" s="343"/>
      <c r="L11" s="343"/>
      <c r="M11" s="343"/>
      <c r="N11" s="343"/>
      <c r="O11" s="343"/>
      <c r="P11" s="343"/>
      <c r="Q11" s="343"/>
      <c r="R11" s="343"/>
      <c r="S11" s="343"/>
      <c r="T11" s="343"/>
      <c r="U11" s="344"/>
      <c r="V11" s="186"/>
      <c r="W11" s="186"/>
    </row>
    <row r="12" spans="1:23" ht="15.75">
      <c r="A12" s="219"/>
      <c r="B12" s="219"/>
      <c r="C12" s="219"/>
      <c r="D12" s="229"/>
      <c r="E12" s="329"/>
      <c r="F12" s="330"/>
      <c r="G12" s="330"/>
      <c r="H12" s="330"/>
      <c r="I12" s="330"/>
      <c r="J12" s="330"/>
      <c r="K12" s="330"/>
      <c r="L12" s="330"/>
      <c r="M12" s="330"/>
      <c r="N12" s="330"/>
      <c r="O12" s="330"/>
      <c r="P12" s="330"/>
      <c r="Q12" s="330"/>
      <c r="R12" s="330"/>
      <c r="S12" s="330"/>
      <c r="T12" s="330"/>
      <c r="U12" s="331"/>
      <c r="V12" s="186"/>
      <c r="W12" s="186"/>
    </row>
    <row r="13" spans="1:23" ht="15.75">
      <c r="A13" s="219"/>
      <c r="B13" s="219"/>
      <c r="C13" s="219"/>
      <c r="D13" s="229"/>
      <c r="E13" s="329"/>
      <c r="F13" s="330"/>
      <c r="G13" s="330"/>
      <c r="H13" s="330"/>
      <c r="I13" s="330"/>
      <c r="J13" s="330"/>
      <c r="K13" s="330"/>
      <c r="L13" s="330"/>
      <c r="M13" s="330"/>
      <c r="N13" s="330"/>
      <c r="O13" s="330"/>
      <c r="P13" s="330"/>
      <c r="Q13" s="330"/>
      <c r="R13" s="330"/>
      <c r="S13" s="330"/>
      <c r="T13" s="330"/>
      <c r="U13" s="331"/>
      <c r="V13" s="186"/>
      <c r="W13" s="247"/>
    </row>
    <row r="14" spans="1:23" ht="15.75">
      <c r="A14" s="230"/>
      <c r="B14" s="332"/>
      <c r="C14" s="333"/>
      <c r="D14" s="334"/>
      <c r="E14" s="334"/>
      <c r="F14" s="334"/>
      <c r="G14" s="334"/>
      <c r="H14" s="334"/>
      <c r="I14" s="334"/>
      <c r="J14" s="334"/>
      <c r="K14" s="334"/>
      <c r="L14" s="334"/>
      <c r="M14" s="334"/>
      <c r="N14" s="334"/>
      <c r="O14" s="334"/>
      <c r="P14" s="334"/>
      <c r="Q14" s="334"/>
      <c r="R14" s="334"/>
      <c r="S14" s="334"/>
      <c r="T14" s="334"/>
      <c r="U14" s="335"/>
      <c r="V14" s="247"/>
      <c r="W14" s="247"/>
    </row>
    <row r="15" spans="1:23" ht="15.75">
      <c r="A15" s="312"/>
      <c r="B15" s="332"/>
      <c r="C15" s="333"/>
      <c r="D15" s="334"/>
      <c r="E15" s="334"/>
      <c r="F15" s="334"/>
      <c r="G15" s="334"/>
      <c r="H15" s="334"/>
      <c r="I15" s="334"/>
      <c r="J15" s="334"/>
      <c r="K15" s="334"/>
      <c r="L15" s="334"/>
      <c r="M15" s="334"/>
      <c r="N15" s="334"/>
      <c r="O15" s="334"/>
      <c r="P15" s="334"/>
      <c r="Q15" s="334"/>
      <c r="R15" s="334"/>
      <c r="S15" s="334"/>
      <c r="T15" s="334"/>
      <c r="U15" s="335"/>
      <c r="V15" s="247"/>
      <c r="W15" s="247"/>
    </row>
    <row r="16" spans="1:23" ht="15.75">
      <c r="A16" s="301"/>
      <c r="B16" s="301"/>
      <c r="C16" s="301"/>
      <c r="D16" s="311"/>
      <c r="E16" s="329"/>
      <c r="F16" s="330"/>
      <c r="G16" s="330"/>
      <c r="H16" s="330"/>
      <c r="I16" s="330"/>
      <c r="J16" s="330"/>
      <c r="K16" s="330"/>
      <c r="L16" s="330"/>
      <c r="M16" s="330"/>
      <c r="N16" s="330"/>
      <c r="O16" s="330"/>
      <c r="P16" s="330"/>
      <c r="Q16" s="330"/>
      <c r="R16" s="330"/>
      <c r="S16" s="330"/>
      <c r="T16" s="330"/>
      <c r="U16" s="331"/>
      <c r="V16" s="247"/>
      <c r="W16" s="247"/>
    </row>
    <row r="17" spans="1:23" ht="15.75">
      <c r="A17" s="312"/>
      <c r="B17" s="332"/>
      <c r="C17" s="333"/>
      <c r="D17" s="334"/>
      <c r="E17" s="334"/>
      <c r="F17" s="334"/>
      <c r="G17" s="334"/>
      <c r="H17" s="334"/>
      <c r="I17" s="334"/>
      <c r="J17" s="334"/>
      <c r="K17" s="334"/>
      <c r="L17" s="334"/>
      <c r="M17" s="334"/>
      <c r="N17" s="334"/>
      <c r="O17" s="334"/>
      <c r="P17" s="334"/>
      <c r="Q17" s="334"/>
      <c r="R17" s="334"/>
      <c r="S17" s="334"/>
      <c r="T17" s="334"/>
      <c r="U17" s="335"/>
      <c r="V17" s="247"/>
      <c r="W17" s="247"/>
    </row>
    <row r="18" spans="1:23" ht="15.75">
      <c r="A18" s="301"/>
      <c r="B18" s="301"/>
      <c r="C18" s="301"/>
      <c r="D18" s="311"/>
      <c r="E18" s="329"/>
      <c r="F18" s="330"/>
      <c r="G18" s="330"/>
      <c r="H18" s="330"/>
      <c r="I18" s="330"/>
      <c r="J18" s="330"/>
      <c r="K18" s="330"/>
      <c r="L18" s="330"/>
      <c r="M18" s="330"/>
      <c r="N18" s="330"/>
      <c r="O18" s="330"/>
      <c r="P18" s="330"/>
      <c r="Q18" s="330"/>
      <c r="R18" s="330"/>
      <c r="S18" s="330"/>
      <c r="T18" s="330"/>
      <c r="U18" s="331"/>
      <c r="V18" s="247"/>
      <c r="W18" s="247"/>
    </row>
    <row r="19" spans="1:23" ht="36">
      <c r="A19" s="301">
        <v>43833.854166666664</v>
      </c>
      <c r="B19" s="301">
        <v>43833.951388888891</v>
      </c>
      <c r="C19" s="301">
        <f t="shared" ref="C19:C21" si="0">B19-A19</f>
        <v>9.7222222226264421E-2</v>
      </c>
      <c r="D19" s="311">
        <v>9.7222222222222224E-2</v>
      </c>
      <c r="E19" s="302">
        <v>3519</v>
      </c>
      <c r="F19" s="303" t="s">
        <v>249</v>
      </c>
      <c r="G19" s="303" t="s">
        <v>591</v>
      </c>
      <c r="H19" s="304" t="s">
        <v>226</v>
      </c>
      <c r="I19" s="305">
        <v>43846</v>
      </c>
      <c r="J19" s="306"/>
      <c r="K19" s="302" t="s">
        <v>227</v>
      </c>
      <c r="L19" s="307"/>
      <c r="M19" s="308"/>
      <c r="N19" s="303" t="s">
        <v>35</v>
      </c>
      <c r="O19" s="302">
        <v>250</v>
      </c>
      <c r="P19" s="302" t="s">
        <v>592</v>
      </c>
      <c r="Q19" s="309" t="s">
        <v>229</v>
      </c>
      <c r="R19" s="310">
        <v>2105</v>
      </c>
      <c r="S19" s="310">
        <v>2112</v>
      </c>
      <c r="T19" s="306" t="s">
        <v>232</v>
      </c>
      <c r="U19" s="310" t="s">
        <v>593</v>
      </c>
      <c r="V19" s="247" t="s">
        <v>60</v>
      </c>
      <c r="W19" s="247">
        <f>IF(ISNA(V19),VLOOKUP(E19,категория!A$16:C$41,3,),11.12+R19*8.333/VLOOKUP(V19,категория!A$16:C$41,2,))</f>
        <v>19.890482499999997</v>
      </c>
    </row>
    <row r="20" spans="1:23" ht="48">
      <c r="A20" s="301">
        <v>43833.951388888891</v>
      </c>
      <c r="B20" s="301">
        <v>43834.034722222219</v>
      </c>
      <c r="C20" s="301">
        <f t="shared" si="0"/>
        <v>8.3333333328482695E-2</v>
      </c>
      <c r="D20" s="311">
        <v>8.3333333333333329E-2</v>
      </c>
      <c r="E20" s="302">
        <v>3521</v>
      </c>
      <c r="F20" s="303" t="s">
        <v>249</v>
      </c>
      <c r="G20" s="303" t="s">
        <v>594</v>
      </c>
      <c r="H20" s="304" t="s">
        <v>258</v>
      </c>
      <c r="I20" s="305">
        <v>43853</v>
      </c>
      <c r="J20" s="306"/>
      <c r="K20" s="302" t="s">
        <v>227</v>
      </c>
      <c r="L20" s="307"/>
      <c r="M20" s="308"/>
      <c r="N20" s="303" t="s">
        <v>35</v>
      </c>
      <c r="O20" s="302">
        <v>285</v>
      </c>
      <c r="P20" s="302" t="s">
        <v>228</v>
      </c>
      <c r="Q20" s="309" t="s">
        <v>229</v>
      </c>
      <c r="R20" s="310">
        <v>5800</v>
      </c>
      <c r="S20" s="310">
        <v>3899</v>
      </c>
      <c r="T20" s="306" t="s">
        <v>232</v>
      </c>
      <c r="U20" s="310" t="s">
        <v>593</v>
      </c>
      <c r="V20" s="247" t="s">
        <v>57</v>
      </c>
      <c r="W20" s="247">
        <f>IF(ISNA(V20),VLOOKUP(E20,категория!A$16:C$41,3,),11.12+R20*8.333/VLOOKUP(V20,категория!A$16:C$41,2,))</f>
        <v>37.970777777777776</v>
      </c>
    </row>
    <row r="21" spans="1:23" ht="15.75">
      <c r="A21" s="301">
        <v>43834.034722222219</v>
      </c>
      <c r="B21" s="301">
        <v>43834.333333333336</v>
      </c>
      <c r="C21" s="301">
        <f t="shared" si="0"/>
        <v>0.29861111111677019</v>
      </c>
      <c r="D21" s="311">
        <v>0.5</v>
      </c>
      <c r="E21" s="329" t="s">
        <v>10</v>
      </c>
      <c r="F21" s="330"/>
      <c r="G21" s="330"/>
      <c r="H21" s="330"/>
      <c r="I21" s="330"/>
      <c r="J21" s="330"/>
      <c r="K21" s="330"/>
      <c r="L21" s="330"/>
      <c r="M21" s="330"/>
      <c r="N21" s="330"/>
      <c r="O21" s="330"/>
      <c r="P21" s="330"/>
      <c r="Q21" s="330"/>
      <c r="R21" s="330"/>
      <c r="S21" s="330"/>
      <c r="T21" s="330"/>
      <c r="U21" s="331"/>
      <c r="V21" s="247" t="e">
        <f>VLOOKUP(E21,Лист4!A$2:G$499,7)</f>
        <v>#N/A</v>
      </c>
      <c r="W21" s="247">
        <f>IF(ISNA(V21),VLOOKUP(E21,категория!A$16:C$41,3,),11.12+R21*8.333/VLOOKUP(V21,категория!A$16:C$41,2,))*7.16</f>
        <v>59.666427999999996</v>
      </c>
    </row>
    <row r="22" spans="1:23" ht="15.75">
      <c r="A22" s="312">
        <v>43834.333333333336</v>
      </c>
      <c r="B22" s="332" t="s">
        <v>595</v>
      </c>
      <c r="C22" s="333"/>
      <c r="D22" s="334"/>
      <c r="E22" s="334"/>
      <c r="F22" s="334"/>
      <c r="G22" s="334"/>
      <c r="H22" s="334"/>
      <c r="I22" s="334"/>
      <c r="J22" s="334"/>
      <c r="K22" s="334"/>
      <c r="L22" s="334"/>
      <c r="M22" s="334"/>
      <c r="N22" s="334"/>
      <c r="O22" s="334"/>
      <c r="P22" s="334"/>
      <c r="Q22" s="334"/>
      <c r="R22" s="334"/>
      <c r="S22" s="334"/>
      <c r="T22" s="334"/>
      <c r="U22" s="335"/>
      <c r="V22" s="247" t="e">
        <f>VLOOKUP(E22,Лист4!A$2:G$499,7)</f>
        <v>#N/A</v>
      </c>
      <c r="W22" s="52">
        <f>SUM(W18:W21)</f>
        <v>117.52768827777777</v>
      </c>
    </row>
    <row r="23" spans="1:23" ht="15.75">
      <c r="A23" s="301">
        <v>43834.333333333336</v>
      </c>
      <c r="B23" s="301">
        <v>43834.354166666664</v>
      </c>
      <c r="C23" s="301"/>
      <c r="D23" s="311">
        <v>2.0833333333333332E-2</v>
      </c>
      <c r="E23" s="329" t="s">
        <v>22</v>
      </c>
      <c r="F23" s="330"/>
      <c r="G23" s="330"/>
      <c r="H23" s="330"/>
      <c r="I23" s="330"/>
      <c r="J23" s="330"/>
      <c r="K23" s="330"/>
      <c r="L23" s="330"/>
      <c r="M23" s="330"/>
      <c r="N23" s="330"/>
      <c r="O23" s="330"/>
      <c r="P23" s="330"/>
      <c r="Q23" s="330"/>
      <c r="R23" s="330"/>
      <c r="S23" s="330"/>
      <c r="T23" s="330"/>
      <c r="U23" s="331"/>
      <c r="V23" s="247" t="e">
        <f>VLOOKUP(E23,Лист4!A$2:G$499,7)</f>
        <v>#N/A</v>
      </c>
      <c r="W23" s="247">
        <f>IF(ISNA(V23),VLOOKUP(E23,категория!A$16:C$41,3,),11.12+R23*8.333/VLOOKUP(V23,категория!A$16:C$41,2,))</f>
        <v>4.17</v>
      </c>
    </row>
    <row r="24" spans="1:23" ht="15.75">
      <c r="A24" s="301">
        <v>43834.354166666664</v>
      </c>
      <c r="B24" s="301">
        <v>43834.375</v>
      </c>
      <c r="C24" s="301"/>
      <c r="D24" s="311">
        <v>2.0833333333333332E-2</v>
      </c>
      <c r="E24" s="329" t="s">
        <v>23</v>
      </c>
      <c r="F24" s="330"/>
      <c r="G24" s="330"/>
      <c r="H24" s="330"/>
      <c r="I24" s="330"/>
      <c r="J24" s="330"/>
      <c r="K24" s="330"/>
      <c r="L24" s="330"/>
      <c r="M24" s="330"/>
      <c r="N24" s="330"/>
      <c r="O24" s="330"/>
      <c r="P24" s="330"/>
      <c r="Q24" s="330"/>
      <c r="R24" s="330"/>
      <c r="S24" s="330"/>
      <c r="T24" s="330"/>
      <c r="U24" s="331"/>
      <c r="V24" s="247" t="e">
        <f>VLOOKUP(E24,Лист4!A$2:G$499,7)</f>
        <v>#N/A</v>
      </c>
      <c r="W24" s="247">
        <f>IF(ISNA(V24),VLOOKUP(E24,категория!A$16:C$41,3,),11.12+R24*8.333/VLOOKUP(V24,категория!A$16:C$41,2,))</f>
        <v>2.78</v>
      </c>
    </row>
    <row r="25" spans="1:23" ht="48">
      <c r="A25" s="301">
        <v>43834.375</v>
      </c>
      <c r="B25" s="301">
        <v>43834.815972222219</v>
      </c>
      <c r="C25" s="301"/>
      <c r="D25" s="311">
        <v>0.44097222222222227</v>
      </c>
      <c r="E25" s="302">
        <v>3521</v>
      </c>
      <c r="F25" s="303" t="s">
        <v>249</v>
      </c>
      <c r="G25" s="303" t="s">
        <v>594</v>
      </c>
      <c r="H25" s="304" t="s">
        <v>259</v>
      </c>
      <c r="I25" s="305">
        <v>43853</v>
      </c>
      <c r="J25" s="306"/>
      <c r="K25" s="302" t="s">
        <v>227</v>
      </c>
      <c r="L25" s="307"/>
      <c r="M25" s="308"/>
      <c r="N25" s="303" t="s">
        <v>35</v>
      </c>
      <c r="O25" s="302">
        <v>285</v>
      </c>
      <c r="P25" s="302" t="s">
        <v>228</v>
      </c>
      <c r="Q25" s="309" t="s">
        <v>229</v>
      </c>
      <c r="R25" s="310">
        <v>17900</v>
      </c>
      <c r="S25" s="310">
        <v>20634</v>
      </c>
      <c r="T25" s="306" t="s">
        <v>232</v>
      </c>
      <c r="U25" s="310" t="s">
        <v>37</v>
      </c>
      <c r="V25" s="247" t="s">
        <v>57</v>
      </c>
      <c r="W25" s="247">
        <f>IF(ISNA(V25),VLOOKUP(E25,категория!A$16:C$41,3,),R25*8.333/VLOOKUP(V25,категория!A$16:C$41,2,))</f>
        <v>82.867055555555567</v>
      </c>
    </row>
    <row r="26" spans="1:23" ht="15.75">
      <c r="A26" s="301">
        <v>43834.815972222219</v>
      </c>
      <c r="B26" s="301">
        <v>43834.833333333336</v>
      </c>
      <c r="C26" s="301"/>
      <c r="D26" s="311">
        <v>2.0833333333333332E-2</v>
      </c>
      <c r="E26" s="329" t="s">
        <v>2</v>
      </c>
      <c r="F26" s="330"/>
      <c r="G26" s="330"/>
      <c r="H26" s="330"/>
      <c r="I26" s="330"/>
      <c r="J26" s="330"/>
      <c r="K26" s="330"/>
      <c r="L26" s="330"/>
      <c r="M26" s="330"/>
      <c r="N26" s="330"/>
      <c r="O26" s="330"/>
      <c r="P26" s="330"/>
      <c r="Q26" s="330"/>
      <c r="R26" s="330"/>
      <c r="S26" s="330"/>
      <c r="T26" s="330"/>
      <c r="U26" s="331"/>
      <c r="V26" s="247" t="e">
        <f>VLOOKUP(E26,Лист4!A$2:G$499,7)</f>
        <v>#N/A</v>
      </c>
      <c r="W26" s="247">
        <f>IF(ISNA(V26),VLOOKUP(E26,категория!A$16:C$41,3,),11.12+R26*8.333/VLOOKUP(V26,категория!A$16:C$41,2,))</f>
        <v>4.17</v>
      </c>
    </row>
    <row r="27" spans="1:23" ht="15.75">
      <c r="A27" s="312">
        <v>43834.833333333336</v>
      </c>
      <c r="B27" s="332" t="s">
        <v>596</v>
      </c>
      <c r="C27" s="333"/>
      <c r="D27" s="334"/>
      <c r="E27" s="334"/>
      <c r="F27" s="334"/>
      <c r="G27" s="334"/>
      <c r="H27" s="334"/>
      <c r="I27" s="334"/>
      <c r="J27" s="334"/>
      <c r="K27" s="334"/>
      <c r="L27" s="334"/>
      <c r="M27" s="334"/>
      <c r="N27" s="334"/>
      <c r="O27" s="334"/>
      <c r="P27" s="334"/>
      <c r="Q27" s="334"/>
      <c r="R27" s="334"/>
      <c r="S27" s="334"/>
      <c r="T27" s="334"/>
      <c r="U27" s="335"/>
      <c r="V27" s="247" t="e">
        <f>VLOOKUP(E27,Лист4!A$2:G$499,7)</f>
        <v>#N/A</v>
      </c>
      <c r="W27" s="52">
        <f>SUM(W23:W26)</f>
        <v>93.987055555555571</v>
      </c>
    </row>
    <row r="28" spans="1:23" ht="15.75">
      <c r="A28" s="301">
        <v>43834.833333333336</v>
      </c>
      <c r="B28" s="301">
        <v>43834.854166666664</v>
      </c>
      <c r="C28" s="301">
        <f>B28-A28</f>
        <v>2.0833333328482695E-2</v>
      </c>
      <c r="D28" s="311">
        <v>2.0833333333333332E-2</v>
      </c>
      <c r="E28" s="329" t="s">
        <v>22</v>
      </c>
      <c r="F28" s="330"/>
      <c r="G28" s="330"/>
      <c r="H28" s="330"/>
      <c r="I28" s="330"/>
      <c r="J28" s="330"/>
      <c r="K28" s="330"/>
      <c r="L28" s="330"/>
      <c r="M28" s="330"/>
      <c r="N28" s="330"/>
      <c r="O28" s="330"/>
      <c r="P28" s="330"/>
      <c r="Q28" s="330"/>
      <c r="R28" s="330"/>
      <c r="S28" s="330"/>
      <c r="T28" s="330"/>
      <c r="U28" s="331"/>
      <c r="V28" s="247" t="e">
        <f>VLOOKUP(E28,Лист4!A$2:G$499,7)</f>
        <v>#N/A</v>
      </c>
      <c r="W28" s="247">
        <f>IF(ISNA(V28),VLOOKUP(E28,категория!A$16:C$41,3,),11.12+R28*8.333/VLOOKUP(V28,категория!A$16:C$41,2,))</f>
        <v>4.17</v>
      </c>
    </row>
    <row r="29" spans="1:23" ht="48">
      <c r="A29" s="301">
        <v>43834.854166666664</v>
      </c>
      <c r="B29" s="301">
        <v>43834.9375</v>
      </c>
      <c r="C29" s="301">
        <f t="shared" ref="C29:C34" si="1">B29-A29</f>
        <v>8.3333333335758653E-2</v>
      </c>
      <c r="D29" s="311">
        <v>8.3333333333333329E-2</v>
      </c>
      <c r="E29" s="302">
        <v>3521</v>
      </c>
      <c r="F29" s="303" t="s">
        <v>249</v>
      </c>
      <c r="G29" s="303" t="s">
        <v>594</v>
      </c>
      <c r="H29" s="304" t="s">
        <v>260</v>
      </c>
      <c r="I29" s="305">
        <v>43853</v>
      </c>
      <c r="J29" s="306"/>
      <c r="K29" s="302" t="s">
        <v>227</v>
      </c>
      <c r="L29" s="307"/>
      <c r="M29" s="308"/>
      <c r="N29" s="303" t="s">
        <v>35</v>
      </c>
      <c r="O29" s="302">
        <v>285</v>
      </c>
      <c r="P29" s="302" t="s">
        <v>228</v>
      </c>
      <c r="Q29" s="309" t="s">
        <v>229</v>
      </c>
      <c r="R29" s="310">
        <v>4185</v>
      </c>
      <c r="S29" s="310">
        <v>3899</v>
      </c>
      <c r="T29" s="306" t="s">
        <v>232</v>
      </c>
      <c r="U29" s="310" t="s">
        <v>593</v>
      </c>
      <c r="V29" s="247" t="s">
        <v>57</v>
      </c>
      <c r="W29" s="247">
        <f>IF(ISNA(V29),VLOOKUP(E29,категория!A$16:C$41,3,),R29*8.333/VLOOKUP(V29,категория!A$16:C$41,2,))</f>
        <v>19.374225000000003</v>
      </c>
    </row>
    <row r="30" spans="1:23" ht="15.75">
      <c r="A30" s="301">
        <v>43834.9375</v>
      </c>
      <c r="B30" s="301">
        <v>43834.958333333336</v>
      </c>
      <c r="C30" s="301">
        <f t="shared" si="1"/>
        <v>2.0833333335758653E-2</v>
      </c>
      <c r="D30" s="311">
        <v>2.0833333333333332E-2</v>
      </c>
      <c r="E30" s="329" t="s">
        <v>2</v>
      </c>
      <c r="F30" s="330"/>
      <c r="G30" s="330"/>
      <c r="H30" s="330"/>
      <c r="I30" s="330"/>
      <c r="J30" s="330"/>
      <c r="K30" s="330"/>
      <c r="L30" s="330"/>
      <c r="M30" s="330"/>
      <c r="N30" s="330"/>
      <c r="O30" s="330"/>
      <c r="P30" s="330"/>
      <c r="Q30" s="330"/>
      <c r="R30" s="330"/>
      <c r="S30" s="330"/>
      <c r="T30" s="330"/>
      <c r="U30" s="331"/>
      <c r="V30" s="247" t="e">
        <f>VLOOKUP(E30,Лист4!A$2:G$499,7)</f>
        <v>#N/A</v>
      </c>
      <c r="W30" s="247">
        <f>IF(ISNA(V30),VLOOKUP(E30,категория!A$16:C$41,3,),11.12+R30*8.333/VLOOKUP(V30,категория!A$16:C$41,2,))</f>
        <v>4.17</v>
      </c>
    </row>
    <row r="31" spans="1:23" ht="15.75">
      <c r="A31" s="301">
        <v>43834.958333333336</v>
      </c>
      <c r="B31" s="301">
        <v>43834.979166666664</v>
      </c>
      <c r="C31" s="301">
        <f t="shared" si="1"/>
        <v>2.0833333328482695E-2</v>
      </c>
      <c r="D31" s="311">
        <v>1.7361111111111112E-2</v>
      </c>
      <c r="E31" s="329" t="s">
        <v>3</v>
      </c>
      <c r="F31" s="330"/>
      <c r="G31" s="330"/>
      <c r="H31" s="330"/>
      <c r="I31" s="330"/>
      <c r="J31" s="330"/>
      <c r="K31" s="330"/>
      <c r="L31" s="330"/>
      <c r="M31" s="330"/>
      <c r="N31" s="330"/>
      <c r="O31" s="330"/>
      <c r="P31" s="330"/>
      <c r="Q31" s="330"/>
      <c r="R31" s="330"/>
      <c r="S31" s="330"/>
      <c r="T31" s="330"/>
      <c r="U31" s="331"/>
      <c r="V31" s="247" t="e">
        <f>VLOOKUP(E31,Лист4!A$2:G$499,7)</f>
        <v>#N/A</v>
      </c>
      <c r="W31" s="247">
        <f>IF(ISNA(V31),VLOOKUP(E31,категория!A$16:C$41,3,),11.12+R31*8.333/VLOOKUP(V31,категория!A$16:C$41,2,))</f>
        <v>3.48</v>
      </c>
    </row>
    <row r="32" spans="1:23" ht="15.75">
      <c r="A32" s="301">
        <v>43834.979166666664</v>
      </c>
      <c r="B32" s="301">
        <v>43835</v>
      </c>
      <c r="C32" s="301">
        <f t="shared" si="1"/>
        <v>2.0833333335758653E-2</v>
      </c>
      <c r="D32" s="311">
        <v>2.0833333333333332E-2</v>
      </c>
      <c r="E32" s="329" t="s">
        <v>8</v>
      </c>
      <c r="F32" s="330"/>
      <c r="G32" s="330"/>
      <c r="H32" s="330"/>
      <c r="I32" s="330"/>
      <c r="J32" s="330"/>
      <c r="K32" s="330"/>
      <c r="L32" s="330"/>
      <c r="M32" s="330"/>
      <c r="N32" s="330"/>
      <c r="O32" s="330"/>
      <c r="P32" s="330"/>
      <c r="Q32" s="330"/>
      <c r="R32" s="330"/>
      <c r="S32" s="330"/>
      <c r="T32" s="330"/>
      <c r="U32" s="331"/>
      <c r="V32" s="247" t="e">
        <f>VLOOKUP(E32,Лист4!A$2:G$499,7)</f>
        <v>#N/A</v>
      </c>
      <c r="W32" s="247">
        <f>IF(ISNA(V32),VLOOKUP(E32,категория!A$16:C$41,3,),11.12+R32*8.333/VLOOKUP(V32,категория!A$16:C$41,2,))</f>
        <v>4.17</v>
      </c>
    </row>
    <row r="33" spans="1:24" ht="72">
      <c r="A33" s="301">
        <v>43835</v>
      </c>
      <c r="B33" s="301">
        <v>43835.020833333336</v>
      </c>
      <c r="C33" s="301">
        <f t="shared" si="1"/>
        <v>2.0833333335758653E-2</v>
      </c>
      <c r="D33" s="311">
        <v>2.0833333333333332E-2</v>
      </c>
      <c r="E33" s="302">
        <v>3391</v>
      </c>
      <c r="F33" s="303" t="s">
        <v>407</v>
      </c>
      <c r="G33" s="303" t="s">
        <v>408</v>
      </c>
      <c r="H33" s="304" t="s">
        <v>273</v>
      </c>
      <c r="I33" s="305">
        <v>43830</v>
      </c>
      <c r="J33" s="306"/>
      <c r="K33" s="302" t="s">
        <v>256</v>
      </c>
      <c r="L33" s="307" t="s">
        <v>232</v>
      </c>
      <c r="M33" s="308"/>
      <c r="N33" s="303" t="s">
        <v>35</v>
      </c>
      <c r="O33" s="302">
        <v>250</v>
      </c>
      <c r="P33" s="302" t="s">
        <v>236</v>
      </c>
      <c r="Q33" s="309" t="s">
        <v>241</v>
      </c>
      <c r="R33" s="310">
        <v>650</v>
      </c>
      <c r="S33" s="310">
        <v>532</v>
      </c>
      <c r="T33" s="306" t="s">
        <v>232</v>
      </c>
      <c r="U33" s="310" t="s">
        <v>593</v>
      </c>
      <c r="V33" s="247" t="s">
        <v>60</v>
      </c>
      <c r="W33" s="247">
        <f>IF(ISNA(V33),VLOOKUP(E33,категория!A$16:C$41,3,),11.12/4+R33*8.333/VLOOKUP(V33,категория!A$16:C$41,2,))</f>
        <v>5.4882249999999999</v>
      </c>
    </row>
    <row r="34" spans="1:24" ht="15.75">
      <c r="A34" s="301">
        <v>43835.020833333336</v>
      </c>
      <c r="B34" s="301">
        <v>43835.333333333336</v>
      </c>
      <c r="C34" s="301">
        <f t="shared" si="1"/>
        <v>0.3125</v>
      </c>
      <c r="D34" s="311">
        <v>4.1666666666666664E-2</v>
      </c>
      <c r="E34" s="329" t="s">
        <v>283</v>
      </c>
      <c r="F34" s="330"/>
      <c r="G34" s="330"/>
      <c r="H34" s="330"/>
      <c r="I34" s="330"/>
      <c r="J34" s="330"/>
      <c r="K34" s="330"/>
      <c r="L34" s="330"/>
      <c r="M34" s="330"/>
      <c r="N34" s="330"/>
      <c r="O34" s="330"/>
      <c r="P34" s="330"/>
      <c r="Q34" s="330"/>
      <c r="R34" s="330"/>
      <c r="S34" s="330"/>
      <c r="T34" s="330"/>
      <c r="U34" s="331"/>
      <c r="V34" s="247" t="e">
        <f>VLOOKUP(E34,Лист4!A$2:G$499,7)</f>
        <v>#N/A</v>
      </c>
      <c r="W34" s="247">
        <f>7.5*8.333</f>
        <v>62.497500000000002</v>
      </c>
    </row>
    <row r="35" spans="1:24" ht="15.75">
      <c r="A35" s="312">
        <v>43835.333333333336</v>
      </c>
      <c r="B35" s="332" t="s">
        <v>597</v>
      </c>
      <c r="C35" s="333"/>
      <c r="D35" s="334"/>
      <c r="E35" s="334"/>
      <c r="F35" s="334"/>
      <c r="G35" s="334"/>
      <c r="H35" s="334"/>
      <c r="I35" s="334"/>
      <c r="J35" s="334"/>
      <c r="K35" s="334"/>
      <c r="L35" s="334"/>
      <c r="M35" s="334"/>
      <c r="N35" s="334"/>
      <c r="O35" s="334"/>
      <c r="P35" s="334"/>
      <c r="Q35" s="334"/>
      <c r="R35" s="334"/>
      <c r="S35" s="334"/>
      <c r="T35" s="334"/>
      <c r="U35" s="335"/>
      <c r="V35" s="247" t="e">
        <f>VLOOKUP(E35,Лист4!A$2:G$499,7)</f>
        <v>#N/A</v>
      </c>
      <c r="W35" s="52">
        <f>SUM(W28:W34)</f>
        <v>103.34995000000001</v>
      </c>
    </row>
    <row r="36" spans="1:24" ht="15.75">
      <c r="A36" s="301">
        <v>43835.333333333336</v>
      </c>
      <c r="B36" s="301">
        <v>43835.354166666664</v>
      </c>
      <c r="C36" s="301">
        <f>B36-A36</f>
        <v>2.0833333328482695E-2</v>
      </c>
      <c r="D36" s="311">
        <v>2.0833333333333332E-2</v>
      </c>
      <c r="E36" s="329" t="s">
        <v>22</v>
      </c>
      <c r="F36" s="330"/>
      <c r="G36" s="330"/>
      <c r="H36" s="330"/>
      <c r="I36" s="330"/>
      <c r="J36" s="330"/>
      <c r="K36" s="330"/>
      <c r="L36" s="330"/>
      <c r="M36" s="330"/>
      <c r="N36" s="330"/>
      <c r="O36" s="330"/>
      <c r="P36" s="330"/>
      <c r="Q36" s="330"/>
      <c r="R36" s="330"/>
      <c r="S36" s="330"/>
      <c r="T36" s="330"/>
      <c r="U36" s="331"/>
      <c r="V36" s="247" t="e">
        <f>VLOOKUP(E36,Лист4!A$2:G$499,7)</f>
        <v>#N/A</v>
      </c>
      <c r="W36" s="247">
        <f>IF(ISNA(V36),VLOOKUP(E36,категория!A$16:C$41,3,),11.12+R36*8.333/VLOOKUP(V36,категория!A$16:C$41,2,))</f>
        <v>4.17</v>
      </c>
    </row>
    <row r="37" spans="1:24" ht="15.75">
      <c r="A37" s="301">
        <v>43835.354166666664</v>
      </c>
      <c r="B37" s="301">
        <v>43835.375</v>
      </c>
      <c r="C37" s="301">
        <f t="shared" ref="C37:C43" si="2">B37-A37</f>
        <v>2.0833333335758653E-2</v>
      </c>
      <c r="D37" s="311">
        <v>2.0833333333333332E-2</v>
      </c>
      <c r="E37" s="329" t="s">
        <v>8</v>
      </c>
      <c r="F37" s="330"/>
      <c r="G37" s="330"/>
      <c r="H37" s="330"/>
      <c r="I37" s="330"/>
      <c r="J37" s="330"/>
      <c r="K37" s="330"/>
      <c r="L37" s="330"/>
      <c r="M37" s="330"/>
      <c r="N37" s="330"/>
      <c r="O37" s="330"/>
      <c r="P37" s="330"/>
      <c r="Q37" s="330"/>
      <c r="R37" s="330"/>
      <c r="S37" s="330"/>
      <c r="T37" s="330"/>
      <c r="U37" s="331"/>
      <c r="V37" s="247" t="e">
        <f>VLOOKUP(E37,Лист4!A$2:G$499,7)</f>
        <v>#N/A</v>
      </c>
      <c r="W37" s="247">
        <f>IF(ISNA(V37),VLOOKUP(E37,категория!A$16:C$41,3,),11.12+R37*8.333/VLOOKUP(V37,категория!A$16:C$41,2,))</f>
        <v>4.17</v>
      </c>
    </row>
    <row r="38" spans="1:24" ht="96">
      <c r="A38" s="301">
        <v>43835.375</v>
      </c>
      <c r="B38" s="301">
        <v>43835.4375</v>
      </c>
      <c r="C38" s="301">
        <f t="shared" si="2"/>
        <v>6.25E-2</v>
      </c>
      <c r="D38" s="311">
        <v>6.25E-2</v>
      </c>
      <c r="E38" s="302">
        <v>3545</v>
      </c>
      <c r="F38" s="303" t="s">
        <v>302</v>
      </c>
      <c r="G38" s="303" t="s">
        <v>410</v>
      </c>
      <c r="H38" s="304" t="s">
        <v>273</v>
      </c>
      <c r="I38" s="305">
        <v>43838</v>
      </c>
      <c r="J38" s="306"/>
      <c r="K38" s="302" t="s">
        <v>256</v>
      </c>
      <c r="L38" s="307" t="s">
        <v>232</v>
      </c>
      <c r="M38" s="308"/>
      <c r="N38" s="303" t="s">
        <v>40</v>
      </c>
      <c r="O38" s="302">
        <v>0</v>
      </c>
      <c r="P38" s="302" t="s">
        <v>228</v>
      </c>
      <c r="Q38" s="309" t="s">
        <v>241</v>
      </c>
      <c r="R38" s="310">
        <v>2050</v>
      </c>
      <c r="S38" s="310">
        <v>1863</v>
      </c>
      <c r="T38" s="306" t="s">
        <v>232</v>
      </c>
      <c r="U38" s="310" t="s">
        <v>37</v>
      </c>
      <c r="V38" s="247" t="s">
        <v>60</v>
      </c>
      <c r="W38" s="247">
        <f>IF(ISNA(V38),VLOOKUP(E38,категория!A$16:C$41,3,),11.12+R38*8.333/VLOOKUP(V38,категория!A$16:C$41,2,))</f>
        <v>19.661324999999998</v>
      </c>
    </row>
    <row r="39" spans="1:24" ht="15.75">
      <c r="A39" s="301">
        <v>43835.4375</v>
      </c>
      <c r="B39" s="301">
        <v>43835.458333333336</v>
      </c>
      <c r="C39" s="301">
        <f t="shared" si="2"/>
        <v>2.0833333335758653E-2</v>
      </c>
      <c r="D39" s="311">
        <v>2.0833333333333332E-2</v>
      </c>
      <c r="E39" s="329" t="s">
        <v>2</v>
      </c>
      <c r="F39" s="330"/>
      <c r="G39" s="330"/>
      <c r="H39" s="330"/>
      <c r="I39" s="330"/>
      <c r="J39" s="330"/>
      <c r="K39" s="330"/>
      <c r="L39" s="330"/>
      <c r="M39" s="330"/>
      <c r="N39" s="330"/>
      <c r="O39" s="330"/>
      <c r="P39" s="330"/>
      <c r="Q39" s="330"/>
      <c r="R39" s="330"/>
      <c r="S39" s="330"/>
      <c r="T39" s="330"/>
      <c r="U39" s="331"/>
      <c r="V39" s="247" t="e">
        <f>VLOOKUP(E39,Лист4!A$2:G$499,7)</f>
        <v>#N/A</v>
      </c>
      <c r="W39" s="247">
        <f>IF(ISNA(V39),VLOOKUP(E39,категория!A$16:C$41,3,),11.12+R39*8.333/VLOOKUP(V39,категория!A$16:C$41,2,))</f>
        <v>4.17</v>
      </c>
    </row>
    <row r="40" spans="1:24" ht="15.75">
      <c r="A40" s="301">
        <v>43835.458333333336</v>
      </c>
      <c r="B40" s="301">
        <v>43835.541666666664</v>
      </c>
      <c r="C40" s="301">
        <f t="shared" si="2"/>
        <v>8.3333333328482695E-2</v>
      </c>
      <c r="D40" s="311">
        <v>6.9444444444444434E-2</v>
      </c>
      <c r="E40" s="329" t="s">
        <v>18</v>
      </c>
      <c r="F40" s="330"/>
      <c r="G40" s="330"/>
      <c r="H40" s="330"/>
      <c r="I40" s="330"/>
      <c r="J40" s="330"/>
      <c r="K40" s="330"/>
      <c r="L40" s="330"/>
      <c r="M40" s="330"/>
      <c r="N40" s="330"/>
      <c r="O40" s="330"/>
      <c r="P40" s="330"/>
      <c r="Q40" s="330"/>
      <c r="R40" s="330"/>
      <c r="S40" s="330"/>
      <c r="T40" s="330"/>
      <c r="U40" s="331"/>
      <c r="V40" s="247" t="e">
        <f>VLOOKUP(E40,Лист4!A$2:G$499,7)</f>
        <v>#N/A</v>
      </c>
      <c r="W40" s="247">
        <f>IF(ISNA(V40),VLOOKUP(E40,категория!A$16:C$41,3,),11.12+R40*8.333/VLOOKUP(V40,категория!A$16:C$41,2,))</f>
        <v>13.9</v>
      </c>
    </row>
    <row r="41" spans="1:24" ht="15.75">
      <c r="A41" s="301">
        <v>43835.541666666664</v>
      </c>
      <c r="B41" s="301">
        <v>43835.5625</v>
      </c>
      <c r="C41" s="301">
        <f t="shared" si="2"/>
        <v>2.0833333335758653E-2</v>
      </c>
      <c r="D41" s="311">
        <v>2.0833333333333332E-2</v>
      </c>
      <c r="E41" s="329" t="s">
        <v>23</v>
      </c>
      <c r="F41" s="330"/>
      <c r="G41" s="330"/>
      <c r="H41" s="330"/>
      <c r="I41" s="330"/>
      <c r="J41" s="330"/>
      <c r="K41" s="330"/>
      <c r="L41" s="330"/>
      <c r="M41" s="330"/>
      <c r="N41" s="330"/>
      <c r="O41" s="330"/>
      <c r="P41" s="330"/>
      <c r="Q41" s="330"/>
      <c r="R41" s="330"/>
      <c r="S41" s="330"/>
      <c r="T41" s="330"/>
      <c r="U41" s="331"/>
      <c r="V41" s="247" t="e">
        <f>VLOOKUP(E41,Лист4!A$2:G$499,7)</f>
        <v>#N/A</v>
      </c>
      <c r="W41" s="247">
        <f>IF(ISNA(V41),VLOOKUP(E41,категория!A$16:C$41,3,),11.12+R41*8.333/VLOOKUP(V41,категория!A$16:C$41,2,))</f>
        <v>2.78</v>
      </c>
    </row>
    <row r="42" spans="1:24" ht="15.75">
      <c r="A42" s="301">
        <v>43835.5625</v>
      </c>
      <c r="B42" s="301">
        <v>43835.666666666664</v>
      </c>
      <c r="C42" s="301">
        <f t="shared" si="2"/>
        <v>0.10416666666424135</v>
      </c>
      <c r="D42" s="311">
        <v>4.1666666666666664E-2</v>
      </c>
      <c r="E42" s="329" t="s">
        <v>283</v>
      </c>
      <c r="F42" s="330"/>
      <c r="G42" s="330"/>
      <c r="H42" s="330"/>
      <c r="I42" s="330"/>
      <c r="J42" s="330"/>
      <c r="K42" s="330"/>
      <c r="L42" s="330"/>
      <c r="M42" s="330"/>
      <c r="N42" s="330"/>
      <c r="O42" s="330"/>
      <c r="P42" s="330"/>
      <c r="Q42" s="330"/>
      <c r="R42" s="330"/>
      <c r="S42" s="330"/>
      <c r="T42" s="330"/>
      <c r="U42" s="331"/>
      <c r="V42" s="247" t="e">
        <f>VLOOKUP(E42,Лист4!A$2:G$499,7)</f>
        <v>#N/A</v>
      </c>
      <c r="W42" s="247">
        <f>2.5*8.333</f>
        <v>20.8325</v>
      </c>
    </row>
    <row r="43" spans="1:24" ht="15.75">
      <c r="A43" s="301">
        <v>43835.666666666664</v>
      </c>
      <c r="B43" s="301">
        <v>43838.416666666664</v>
      </c>
      <c r="C43" s="301">
        <f t="shared" si="2"/>
        <v>2.75</v>
      </c>
      <c r="D43" s="311">
        <v>0.5</v>
      </c>
      <c r="E43" s="329" t="s">
        <v>339</v>
      </c>
      <c r="F43" s="330"/>
      <c r="G43" s="330"/>
      <c r="H43" s="330"/>
      <c r="I43" s="330"/>
      <c r="J43" s="330"/>
      <c r="K43" s="330"/>
      <c r="L43" s="330"/>
      <c r="M43" s="330"/>
      <c r="N43" s="330"/>
      <c r="O43" s="330"/>
      <c r="P43" s="330"/>
      <c r="Q43" s="330"/>
      <c r="R43" s="330"/>
      <c r="S43" s="330"/>
      <c r="T43" s="330"/>
      <c r="U43" s="331"/>
      <c r="V43" s="247" t="e">
        <f>VLOOKUP(E43,Лист4!A$2:G$499,7)</f>
        <v>#N/A</v>
      </c>
      <c r="W43" s="52">
        <f>SUM(W36:W42)</f>
        <v>69.683824999999999</v>
      </c>
      <c r="X43" t="s">
        <v>209</v>
      </c>
    </row>
    <row r="44" spans="1:24" ht="15.75">
      <c r="A44" s="312">
        <v>43835.833333333336</v>
      </c>
      <c r="B44" s="332" t="s">
        <v>598</v>
      </c>
      <c r="C44" s="333"/>
      <c r="D44" s="334"/>
      <c r="E44" s="334"/>
      <c r="F44" s="334"/>
      <c r="G44" s="334"/>
      <c r="H44" s="334"/>
      <c r="I44" s="334"/>
      <c r="J44" s="334"/>
      <c r="K44" s="334"/>
      <c r="L44" s="334"/>
      <c r="M44" s="334"/>
      <c r="N44" s="334"/>
      <c r="O44" s="334"/>
      <c r="P44" s="334"/>
      <c r="Q44" s="334"/>
      <c r="R44" s="334"/>
      <c r="S44" s="334"/>
      <c r="T44" s="334"/>
      <c r="U44" s="335"/>
      <c r="V44" s="247" t="e">
        <f>VLOOKUP(E44,Лист4!A$2:G$499,7)</f>
        <v>#N/A</v>
      </c>
      <c r="W44" s="247" t="e">
        <f>IF(ISNA(V44),VLOOKUP(E44,категория!A$16:C$41,3,),11.12+R44*8.333/VLOOKUP(V44,категория!A$16:C$41,2,))</f>
        <v>#N/A</v>
      </c>
    </row>
    <row r="45" spans="1:24" ht="15.75">
      <c r="A45" s="312">
        <v>43836.333333333336</v>
      </c>
      <c r="B45" s="332" t="s">
        <v>414</v>
      </c>
      <c r="C45" s="333"/>
      <c r="D45" s="334"/>
      <c r="E45" s="334"/>
      <c r="F45" s="334"/>
      <c r="G45" s="334"/>
      <c r="H45" s="334"/>
      <c r="I45" s="334"/>
      <c r="J45" s="334"/>
      <c r="K45" s="334"/>
      <c r="L45" s="334"/>
      <c r="M45" s="334"/>
      <c r="N45" s="334"/>
      <c r="O45" s="334"/>
      <c r="P45" s="334"/>
      <c r="Q45" s="334"/>
      <c r="R45" s="334"/>
      <c r="S45" s="334"/>
      <c r="T45" s="334"/>
      <c r="U45" s="335"/>
      <c r="V45" s="247" t="e">
        <f>VLOOKUP(E45,Лист4!A$2:G$499,7)</f>
        <v>#N/A</v>
      </c>
      <c r="W45" s="247" t="e">
        <f>IF(ISNA(V45),VLOOKUP(E45,категория!A$16:C$41,3,),11.12+R45*8.333/VLOOKUP(V45,категория!A$16:C$41,2,))</f>
        <v>#N/A</v>
      </c>
    </row>
    <row r="46" spans="1:24" ht="15.75">
      <c r="A46" s="312">
        <v>43836.833333333336</v>
      </c>
      <c r="B46" s="332" t="s">
        <v>415</v>
      </c>
      <c r="C46" s="333"/>
      <c r="D46" s="334"/>
      <c r="E46" s="334"/>
      <c r="F46" s="334"/>
      <c r="G46" s="334"/>
      <c r="H46" s="334"/>
      <c r="I46" s="334"/>
      <c r="J46" s="334"/>
      <c r="K46" s="334"/>
      <c r="L46" s="334"/>
      <c r="M46" s="334"/>
      <c r="N46" s="334"/>
      <c r="O46" s="334"/>
      <c r="P46" s="334"/>
      <c r="Q46" s="334"/>
      <c r="R46" s="334"/>
      <c r="S46" s="334"/>
      <c r="T46" s="334"/>
      <c r="U46" s="335"/>
      <c r="V46" s="247" t="e">
        <f>VLOOKUP(E46,Лист4!A$2:G$499,7)</f>
        <v>#N/A</v>
      </c>
      <c r="W46" s="247" t="e">
        <f>IF(ISNA(V46),VLOOKUP(E46,категория!A$16:C$41,3,),11.12+R46*8.333/VLOOKUP(V46,категория!A$16:C$41,2,))</f>
        <v>#N/A</v>
      </c>
    </row>
    <row r="47" spans="1:24" ht="15.75">
      <c r="A47" s="312">
        <v>43837.333333333336</v>
      </c>
      <c r="B47" s="332" t="s">
        <v>416</v>
      </c>
      <c r="C47" s="333"/>
      <c r="D47" s="334"/>
      <c r="E47" s="334"/>
      <c r="F47" s="334"/>
      <c r="G47" s="334"/>
      <c r="H47" s="334"/>
      <c r="I47" s="334"/>
      <c r="J47" s="334"/>
      <c r="K47" s="334"/>
      <c r="L47" s="334"/>
      <c r="M47" s="334"/>
      <c r="N47" s="334"/>
      <c r="O47" s="334"/>
      <c r="P47" s="334"/>
      <c r="Q47" s="334"/>
      <c r="R47" s="334"/>
      <c r="S47" s="334"/>
      <c r="T47" s="334"/>
      <c r="U47" s="335"/>
      <c r="V47" s="247" t="e">
        <f>VLOOKUP(E47,Лист4!A$2:G$499,7)</f>
        <v>#N/A</v>
      </c>
      <c r="W47" s="247" t="e">
        <f>IF(ISNA(V47),VLOOKUP(E47,категория!A$16:C$41,3,),11.12+R47*8.333/VLOOKUP(V47,категория!A$16:C$41,2,))</f>
        <v>#N/A</v>
      </c>
    </row>
    <row r="48" spans="1:24" ht="15.75">
      <c r="A48" s="312">
        <v>43837.833333333336</v>
      </c>
      <c r="B48" s="332" t="s">
        <v>417</v>
      </c>
      <c r="C48" s="333"/>
      <c r="D48" s="334"/>
      <c r="E48" s="334"/>
      <c r="F48" s="334"/>
      <c r="G48" s="334"/>
      <c r="H48" s="334"/>
      <c r="I48" s="334"/>
      <c r="J48" s="334"/>
      <c r="K48" s="334"/>
      <c r="L48" s="334"/>
      <c r="M48" s="334"/>
      <c r="N48" s="334"/>
      <c r="O48" s="334"/>
      <c r="P48" s="334"/>
      <c r="Q48" s="334"/>
      <c r="R48" s="334"/>
      <c r="S48" s="334"/>
      <c r="T48" s="334"/>
      <c r="U48" s="335"/>
      <c r="V48" s="247" t="e">
        <f>VLOOKUP(E48,Лист4!A$2:G$499,7)</f>
        <v>#N/A</v>
      </c>
      <c r="W48" s="247" t="e">
        <f>IF(ISNA(V48),VLOOKUP(E48,категория!A$16:C$41,3,),11.12+R48*8.333/VLOOKUP(V48,категория!A$16:C$41,2,))</f>
        <v>#N/A</v>
      </c>
    </row>
    <row r="49" spans="1:23" ht="15.75">
      <c r="A49" s="312">
        <v>43838.333333333336</v>
      </c>
      <c r="B49" s="332" t="s">
        <v>599</v>
      </c>
      <c r="C49" s="333"/>
      <c r="D49" s="334"/>
      <c r="E49" s="334"/>
      <c r="F49" s="334"/>
      <c r="G49" s="334"/>
      <c r="H49" s="334"/>
      <c r="I49" s="334"/>
      <c r="J49" s="334"/>
      <c r="K49" s="334"/>
      <c r="L49" s="334"/>
      <c r="M49" s="334"/>
      <c r="N49" s="334"/>
      <c r="O49" s="334"/>
      <c r="P49" s="334"/>
      <c r="Q49" s="334"/>
      <c r="R49" s="334"/>
      <c r="S49" s="334"/>
      <c r="T49" s="334"/>
      <c r="U49" s="335"/>
      <c r="V49" s="247" t="e">
        <f>VLOOKUP(E49,Лист4!A$2:G$499,7)</f>
        <v>#N/A</v>
      </c>
      <c r="W49" s="247" t="e">
        <f>IF(ISNA(V49),VLOOKUP(E49,категория!A$16:C$41,3,),11.12+R49*8.333/VLOOKUP(V49,категория!A$16:C$41,2,))</f>
        <v>#N/A</v>
      </c>
    </row>
    <row r="50" spans="1:23" ht="15.75">
      <c r="A50" s="301">
        <v>43838.416666666664</v>
      </c>
      <c r="B50" s="301">
        <v>43838.791666666664</v>
      </c>
      <c r="C50" s="301"/>
      <c r="D50" s="311">
        <v>0.66666666666666663</v>
      </c>
      <c r="E50" s="329" t="s">
        <v>283</v>
      </c>
      <c r="F50" s="330"/>
      <c r="G50" s="330"/>
      <c r="H50" s="330"/>
      <c r="I50" s="330"/>
      <c r="J50" s="330"/>
      <c r="K50" s="330"/>
      <c r="L50" s="330"/>
      <c r="M50" s="330"/>
      <c r="N50" s="330"/>
      <c r="O50" s="330"/>
      <c r="P50" s="330"/>
      <c r="Q50" s="330"/>
      <c r="R50" s="330"/>
      <c r="S50" s="330"/>
      <c r="T50" s="330"/>
      <c r="U50" s="331"/>
      <c r="V50" s="247" t="e">
        <f>VLOOKUP(E50,Лист4!A$2:G$499,7)</f>
        <v>#N/A</v>
      </c>
      <c r="W50" s="247" t="e">
        <f>IF(ISNA(V50),VLOOKUP(E50,категория!A$16:C$41,3,),11.12+R50*8.333/VLOOKUP(V50,категория!A$16:C$41,2,))</f>
        <v>#N/A</v>
      </c>
    </row>
    <row r="51" spans="1:23" ht="15.75">
      <c r="A51" s="301">
        <v>43838.8125</v>
      </c>
      <c r="B51" s="301">
        <v>43838.895833333336</v>
      </c>
      <c r="C51" s="301"/>
      <c r="D51" s="311">
        <v>6.25E-2</v>
      </c>
      <c r="E51" s="329" t="s">
        <v>12</v>
      </c>
      <c r="F51" s="330"/>
      <c r="G51" s="330"/>
      <c r="H51" s="330"/>
      <c r="I51" s="330"/>
      <c r="J51" s="330"/>
      <c r="K51" s="330"/>
      <c r="L51" s="330"/>
      <c r="M51" s="330"/>
      <c r="N51" s="330"/>
      <c r="O51" s="330"/>
      <c r="P51" s="330"/>
      <c r="Q51" s="330"/>
      <c r="R51" s="330"/>
      <c r="S51" s="330"/>
      <c r="T51" s="330"/>
      <c r="U51" s="331"/>
      <c r="V51" s="247" t="e">
        <f>VLOOKUP(E51,Лист4!A$2:G$499,7)</f>
        <v>#N/A</v>
      </c>
      <c r="W51" s="247">
        <v>100</v>
      </c>
    </row>
    <row r="52" spans="1:23" ht="15.75">
      <c r="A52" s="312">
        <v>43838.833333333336</v>
      </c>
      <c r="B52" s="332" t="s">
        <v>600</v>
      </c>
      <c r="C52" s="333"/>
      <c r="D52" s="334"/>
      <c r="E52" s="334"/>
      <c r="F52" s="334"/>
      <c r="G52" s="334"/>
      <c r="H52" s="334"/>
      <c r="I52" s="334"/>
      <c r="J52" s="334"/>
      <c r="K52" s="334"/>
      <c r="L52" s="334"/>
      <c r="M52" s="334"/>
      <c r="N52" s="334"/>
      <c r="O52" s="334"/>
      <c r="P52" s="334"/>
      <c r="Q52" s="334"/>
      <c r="R52" s="334"/>
      <c r="S52" s="334"/>
      <c r="T52" s="334"/>
      <c r="U52" s="335"/>
      <c r="V52" s="247" t="e">
        <f>VLOOKUP(E52,Лист4!A$2:G$499,7)</f>
        <v>#N/A</v>
      </c>
      <c r="W52" s="247" t="e">
        <f>IF(ISNA(V52),VLOOKUP(E52,категория!A$16:C$41,3,),11.12+R52*8.333/VLOOKUP(V52,категория!A$16:C$41,2,))</f>
        <v>#N/A</v>
      </c>
    </row>
    <row r="53" spans="1:23" ht="15.75">
      <c r="A53" s="301">
        <v>43838.895833333336</v>
      </c>
      <c r="B53" s="301">
        <v>43838.9375</v>
      </c>
      <c r="C53" s="301">
        <f>B53-A53</f>
        <v>4.1666666664241347E-2</v>
      </c>
      <c r="D53" s="311">
        <v>4.1666666666666664E-2</v>
      </c>
      <c r="E53" s="329" t="s">
        <v>231</v>
      </c>
      <c r="F53" s="330"/>
      <c r="G53" s="330"/>
      <c r="H53" s="330"/>
      <c r="I53" s="330"/>
      <c r="J53" s="330"/>
      <c r="K53" s="330"/>
      <c r="L53" s="330"/>
      <c r="M53" s="330"/>
      <c r="N53" s="330"/>
      <c r="O53" s="330"/>
      <c r="P53" s="330"/>
      <c r="Q53" s="330"/>
      <c r="R53" s="330"/>
      <c r="S53" s="330"/>
      <c r="T53" s="330"/>
      <c r="U53" s="331"/>
      <c r="V53" s="247" t="e">
        <f>VLOOKUP(E53,Лист4!A$2:G$499,7)</f>
        <v>#N/A</v>
      </c>
      <c r="W53" s="247">
        <v>8.3330000000000002</v>
      </c>
    </row>
    <row r="54" spans="1:23" ht="15.75">
      <c r="A54" s="301">
        <v>43838.9375</v>
      </c>
      <c r="B54" s="301">
        <v>43838.958333333336</v>
      </c>
      <c r="C54" s="301">
        <f t="shared" ref="C54:C67" si="3">B54-A54</f>
        <v>2.0833333335758653E-2</v>
      </c>
      <c r="D54" s="311">
        <v>2.0833333333333332E-2</v>
      </c>
      <c r="E54" s="329" t="s">
        <v>8</v>
      </c>
      <c r="F54" s="330"/>
      <c r="G54" s="330"/>
      <c r="H54" s="330"/>
      <c r="I54" s="330"/>
      <c r="J54" s="330"/>
      <c r="K54" s="330"/>
      <c r="L54" s="330"/>
      <c r="M54" s="330"/>
      <c r="N54" s="330"/>
      <c r="O54" s="330"/>
      <c r="P54" s="330"/>
      <c r="Q54" s="330"/>
      <c r="R54" s="330"/>
      <c r="S54" s="330"/>
      <c r="T54" s="330"/>
      <c r="U54" s="331"/>
      <c r="V54" s="247" t="e">
        <f>VLOOKUP(E54,Лист4!A$2:G$499,7)</f>
        <v>#N/A</v>
      </c>
      <c r="W54" s="247">
        <f>IF(ISNA(V54),VLOOKUP(E54,категория!A$16:C$41,3,),11.12+R54*8.333/VLOOKUP(V54,категория!A$16:C$41,2,))</f>
        <v>4.17</v>
      </c>
    </row>
    <row r="55" spans="1:23" ht="36">
      <c r="A55" s="301">
        <v>43838.958333333336</v>
      </c>
      <c r="B55" s="301">
        <v>43839.041666666664</v>
      </c>
      <c r="C55" s="301">
        <f t="shared" si="3"/>
        <v>8.3333333328482695E-2</v>
      </c>
      <c r="D55" s="311">
        <v>8.3333333333333329E-2</v>
      </c>
      <c r="E55" s="302">
        <v>3507</v>
      </c>
      <c r="F55" s="303" t="s">
        <v>601</v>
      </c>
      <c r="G55" s="303" t="s">
        <v>602</v>
      </c>
      <c r="H55" s="304" t="s">
        <v>226</v>
      </c>
      <c r="I55" s="305">
        <v>43845</v>
      </c>
      <c r="J55" s="306"/>
      <c r="K55" s="302" t="s">
        <v>227</v>
      </c>
      <c r="L55" s="307"/>
      <c r="M55" s="308"/>
      <c r="N55" s="303" t="s">
        <v>35</v>
      </c>
      <c r="O55" s="302">
        <v>250</v>
      </c>
      <c r="P55" s="302" t="s">
        <v>280</v>
      </c>
      <c r="Q55" s="309" t="s">
        <v>229</v>
      </c>
      <c r="R55" s="310">
        <v>630</v>
      </c>
      <c r="S55" s="310">
        <v>765</v>
      </c>
      <c r="T55" s="306" t="s">
        <v>232</v>
      </c>
      <c r="U55" s="310" t="s">
        <v>37</v>
      </c>
      <c r="V55" s="247" t="s">
        <v>60</v>
      </c>
      <c r="W55" s="247">
        <f>IF(ISNA(V55),VLOOKUP(E55,категория!A$16:C$41,3,),11.12+R55*8.333/VLOOKUP(V55,категория!A$16:C$41,2,))</f>
        <v>13.744895</v>
      </c>
    </row>
    <row r="56" spans="1:23" ht="15.75">
      <c r="A56" s="301">
        <v>43839.041666666664</v>
      </c>
      <c r="B56" s="301">
        <v>43839.0625</v>
      </c>
      <c r="C56" s="301">
        <f t="shared" si="3"/>
        <v>2.0833333335758653E-2</v>
      </c>
      <c r="D56" s="311">
        <v>2.0833333333333332E-2</v>
      </c>
      <c r="E56" s="329" t="s">
        <v>2</v>
      </c>
      <c r="F56" s="330"/>
      <c r="G56" s="330"/>
      <c r="H56" s="330"/>
      <c r="I56" s="330"/>
      <c r="J56" s="330"/>
      <c r="K56" s="330"/>
      <c r="L56" s="330"/>
      <c r="M56" s="330"/>
      <c r="N56" s="330"/>
      <c r="O56" s="330"/>
      <c r="P56" s="330"/>
      <c r="Q56" s="330"/>
      <c r="R56" s="330"/>
      <c r="S56" s="330"/>
      <c r="T56" s="330"/>
      <c r="U56" s="331"/>
      <c r="V56" s="247" t="e">
        <f>VLOOKUP(E56,Лист4!A$2:G$499,7)</f>
        <v>#N/A</v>
      </c>
      <c r="W56" s="247">
        <f>IF(ISNA(V56),VLOOKUP(E56,категория!A$16:C$41,3,),11.12+R56*8.333/VLOOKUP(V56,категория!A$16:C$41,2,))</f>
        <v>4.17</v>
      </c>
    </row>
    <row r="57" spans="1:23" ht="15.75">
      <c r="A57" s="301">
        <v>43839.0625</v>
      </c>
      <c r="B57" s="301">
        <v>43839.083333333336</v>
      </c>
      <c r="C57" s="301">
        <f t="shared" si="3"/>
        <v>2.0833333335758653E-2</v>
      </c>
      <c r="D57" s="311">
        <v>2.0833333333333332E-2</v>
      </c>
      <c r="E57" s="329" t="s">
        <v>23</v>
      </c>
      <c r="F57" s="330"/>
      <c r="G57" s="330"/>
      <c r="H57" s="330"/>
      <c r="I57" s="330"/>
      <c r="J57" s="330"/>
      <c r="K57" s="330"/>
      <c r="L57" s="330"/>
      <c r="M57" s="330"/>
      <c r="N57" s="330"/>
      <c r="O57" s="330"/>
      <c r="P57" s="330"/>
      <c r="Q57" s="330"/>
      <c r="R57" s="330"/>
      <c r="S57" s="330"/>
      <c r="T57" s="330"/>
      <c r="U57" s="331"/>
      <c r="V57" s="247" t="e">
        <f>VLOOKUP(E57,Лист4!A$2:G$499,7)</f>
        <v>#N/A</v>
      </c>
      <c r="W57" s="247">
        <f>IF(ISNA(V57),VLOOKUP(E57,категория!A$16:C$41,3,),11.12+R57*8.333/VLOOKUP(V57,категория!A$16:C$41,2,))</f>
        <v>2.78</v>
      </c>
    </row>
    <row r="58" spans="1:23" ht="15.75">
      <c r="A58" s="301">
        <v>43839.083333333336</v>
      </c>
      <c r="B58" s="301">
        <v>43839.100694444445</v>
      </c>
      <c r="C58" s="301">
        <f t="shared" si="3"/>
        <v>1.7361111109494232E-2</v>
      </c>
      <c r="D58" s="311">
        <v>1.7361111111111112E-2</v>
      </c>
      <c r="E58" s="329" t="s">
        <v>3</v>
      </c>
      <c r="F58" s="330"/>
      <c r="G58" s="330"/>
      <c r="H58" s="330"/>
      <c r="I58" s="330"/>
      <c r="J58" s="330"/>
      <c r="K58" s="330"/>
      <c r="L58" s="330"/>
      <c r="M58" s="330"/>
      <c r="N58" s="330"/>
      <c r="O58" s="330"/>
      <c r="P58" s="330"/>
      <c r="Q58" s="330"/>
      <c r="R58" s="330"/>
      <c r="S58" s="330"/>
      <c r="T58" s="330"/>
      <c r="U58" s="331"/>
      <c r="V58" s="247" t="e">
        <f>VLOOKUP(E58,Лист4!A$2:G$499,7)</f>
        <v>#N/A</v>
      </c>
      <c r="W58" s="247">
        <f>IF(ISNA(V58),VLOOKUP(E58,категория!A$16:C$41,3,),11.12+R58*8.333/VLOOKUP(V58,категория!A$16:C$41,2,))</f>
        <v>3.48</v>
      </c>
    </row>
    <row r="59" spans="1:23" ht="15.75">
      <c r="A59" s="301">
        <v>43839.100694444445</v>
      </c>
      <c r="B59" s="301">
        <v>43839.118055555555</v>
      </c>
      <c r="C59" s="301">
        <f t="shared" si="3"/>
        <v>1.7361111109494232E-2</v>
      </c>
      <c r="D59" s="311">
        <v>1.7361111111111112E-2</v>
      </c>
      <c r="E59" s="329" t="s">
        <v>3</v>
      </c>
      <c r="F59" s="330"/>
      <c r="G59" s="330"/>
      <c r="H59" s="330"/>
      <c r="I59" s="330"/>
      <c r="J59" s="330"/>
      <c r="K59" s="330"/>
      <c r="L59" s="330"/>
      <c r="M59" s="330"/>
      <c r="N59" s="330"/>
      <c r="O59" s="330"/>
      <c r="P59" s="330"/>
      <c r="Q59" s="330"/>
      <c r="R59" s="330"/>
      <c r="S59" s="330"/>
      <c r="T59" s="330"/>
      <c r="U59" s="331"/>
      <c r="V59" s="247" t="e">
        <f>VLOOKUP(E59,Лист4!A$2:G$499,7)</f>
        <v>#N/A</v>
      </c>
      <c r="W59" s="247">
        <f>IF(ISNA(V59),VLOOKUP(E59,категория!A$16:C$41,3,),11.12+R59*8.333/VLOOKUP(V59,категория!A$16:C$41,2,))</f>
        <v>3.48</v>
      </c>
    </row>
    <row r="60" spans="1:23" ht="15.75">
      <c r="A60" s="301">
        <v>43839.118055555555</v>
      </c>
      <c r="B60" s="301">
        <v>43839.138888888891</v>
      </c>
      <c r="C60" s="301">
        <f t="shared" si="3"/>
        <v>2.0833333335758653E-2</v>
      </c>
      <c r="D60" s="311">
        <v>2.0833333333333332E-2</v>
      </c>
      <c r="E60" s="329" t="s">
        <v>8</v>
      </c>
      <c r="F60" s="330"/>
      <c r="G60" s="330"/>
      <c r="H60" s="330"/>
      <c r="I60" s="330"/>
      <c r="J60" s="330"/>
      <c r="K60" s="330"/>
      <c r="L60" s="330"/>
      <c r="M60" s="330"/>
      <c r="N60" s="330"/>
      <c r="O60" s="330"/>
      <c r="P60" s="330"/>
      <c r="Q60" s="330"/>
      <c r="R60" s="330"/>
      <c r="S60" s="330"/>
      <c r="T60" s="330"/>
      <c r="U60" s="331"/>
      <c r="V60" s="247" t="e">
        <f>VLOOKUP(E60,Лист4!A$2:G$499,7)</f>
        <v>#N/A</v>
      </c>
      <c r="W60" s="247">
        <f>IF(ISNA(V60),VLOOKUP(E60,категория!A$16:C$41,3,),11.12+R60*8.333/VLOOKUP(V60,категория!A$16:C$41,2,))</f>
        <v>4.17</v>
      </c>
    </row>
    <row r="61" spans="1:23" ht="60">
      <c r="A61" s="336">
        <v>43839.138888888891</v>
      </c>
      <c r="B61" s="336">
        <v>43839.21875</v>
      </c>
      <c r="C61" s="301">
        <f t="shared" si="3"/>
        <v>7.9861111109494232E-2</v>
      </c>
      <c r="D61" s="338">
        <v>7.9861111111111105E-2</v>
      </c>
      <c r="E61" s="340">
        <v>3491</v>
      </c>
      <c r="F61" s="303" t="s">
        <v>404</v>
      </c>
      <c r="G61" s="303" t="s">
        <v>405</v>
      </c>
      <c r="H61" s="304" t="s">
        <v>273</v>
      </c>
      <c r="I61" s="305">
        <v>43838</v>
      </c>
      <c r="J61" s="306"/>
      <c r="K61" s="302" t="s">
        <v>256</v>
      </c>
      <c r="L61" s="307" t="s">
        <v>232</v>
      </c>
      <c r="M61" s="308"/>
      <c r="N61" s="303" t="s">
        <v>40</v>
      </c>
      <c r="O61" s="302">
        <v>0</v>
      </c>
      <c r="P61" s="302" t="s">
        <v>228</v>
      </c>
      <c r="Q61" s="309" t="s">
        <v>241</v>
      </c>
      <c r="R61" s="310">
        <v>2685</v>
      </c>
      <c r="S61" s="310">
        <v>2677</v>
      </c>
      <c r="T61" s="306" t="s">
        <v>232</v>
      </c>
      <c r="U61" s="310" t="s">
        <v>37</v>
      </c>
      <c r="V61" s="247" t="s">
        <v>60</v>
      </c>
      <c r="W61" s="247">
        <f>IF(ISNA(V61),VLOOKUP(E61,категория!A$16:C$41,3,),11.12+R61*8.333/VLOOKUP(V61,категория!A$16:C$41,2,))</f>
        <v>22.307052499999998</v>
      </c>
    </row>
    <row r="62" spans="1:23">
      <c r="A62" s="337"/>
      <c r="B62" s="337"/>
      <c r="C62" s="301">
        <f t="shared" si="3"/>
        <v>0</v>
      </c>
      <c r="D62" s="339"/>
      <c r="E62" s="341"/>
      <c r="F62" s="342" t="s">
        <v>603</v>
      </c>
      <c r="G62" s="343"/>
      <c r="H62" s="343"/>
      <c r="I62" s="343"/>
      <c r="J62" s="343"/>
      <c r="K62" s="343"/>
      <c r="L62" s="343"/>
      <c r="M62" s="343"/>
      <c r="N62" s="343"/>
      <c r="O62" s="343"/>
      <c r="P62" s="343"/>
      <c r="Q62" s="343"/>
      <c r="R62" s="343"/>
      <c r="S62" s="343"/>
      <c r="T62" s="343"/>
      <c r="U62" s="344"/>
      <c r="V62" s="247" t="e">
        <f>VLOOKUP(E62,Лист4!A$2:G$499,7)</f>
        <v>#N/A</v>
      </c>
      <c r="W62" s="247">
        <v>0</v>
      </c>
    </row>
    <row r="63" spans="1:23" ht="15.75">
      <c r="A63" s="301">
        <v>43839.21875</v>
      </c>
      <c r="B63" s="301">
        <v>43839.225694444445</v>
      </c>
      <c r="C63" s="301">
        <f t="shared" si="3"/>
        <v>6.9444444452528842E-3</v>
      </c>
      <c r="D63" s="311">
        <v>2.0833333333333332E-2</v>
      </c>
      <c r="E63" s="329" t="s">
        <v>2</v>
      </c>
      <c r="F63" s="330"/>
      <c r="G63" s="330"/>
      <c r="H63" s="330"/>
      <c r="I63" s="330"/>
      <c r="J63" s="330"/>
      <c r="K63" s="330"/>
      <c r="L63" s="330"/>
      <c r="M63" s="330"/>
      <c r="N63" s="330"/>
      <c r="O63" s="330"/>
      <c r="P63" s="330"/>
      <c r="Q63" s="330"/>
      <c r="R63" s="330"/>
      <c r="S63" s="330"/>
      <c r="T63" s="330"/>
      <c r="U63" s="331"/>
      <c r="V63" s="247" t="e">
        <f>VLOOKUP(E63,Лист4!A$2:G$499,7)</f>
        <v>#N/A</v>
      </c>
      <c r="W63" s="247">
        <f>IF(ISNA(V63),VLOOKUP(E63,категория!A$16:C$41,3,),11.12+R63*8.333/VLOOKUP(V63,категория!A$16:C$41,2,))</f>
        <v>4.17</v>
      </c>
    </row>
    <row r="64" spans="1:23" ht="36">
      <c r="A64" s="301">
        <v>43839.225694444445</v>
      </c>
      <c r="B64" s="301">
        <v>43839.263888888891</v>
      </c>
      <c r="C64" s="301">
        <f t="shared" si="3"/>
        <v>3.8194444445252884E-2</v>
      </c>
      <c r="D64" s="311">
        <v>3.8194444444444441E-2</v>
      </c>
      <c r="E64" s="302">
        <v>3442</v>
      </c>
      <c r="F64" s="303" t="s">
        <v>303</v>
      </c>
      <c r="G64" s="303" t="s">
        <v>420</v>
      </c>
      <c r="H64" s="304" t="s">
        <v>273</v>
      </c>
      <c r="I64" s="305">
        <v>43846</v>
      </c>
      <c r="J64" s="306"/>
      <c r="K64" s="302" t="s">
        <v>256</v>
      </c>
      <c r="L64" s="307" t="s">
        <v>232</v>
      </c>
      <c r="M64" s="308"/>
      <c r="N64" s="303" t="s">
        <v>35</v>
      </c>
      <c r="O64" s="302">
        <v>0</v>
      </c>
      <c r="P64" s="302" t="s">
        <v>236</v>
      </c>
      <c r="Q64" s="309" t="s">
        <v>241</v>
      </c>
      <c r="R64" s="310">
        <v>1170</v>
      </c>
      <c r="S64" s="310">
        <v>1035</v>
      </c>
      <c r="T64" s="306" t="s">
        <v>232</v>
      </c>
      <c r="U64" s="310" t="s">
        <v>37</v>
      </c>
      <c r="V64" s="247" t="s">
        <v>60</v>
      </c>
      <c r="W64" s="247">
        <f>IF(ISNA(V64),VLOOKUP(E64,категория!A$16:C$41,3,),11.12+R64*8.333/VLOOKUP(V64,категория!A$16:C$41,2,))</f>
        <v>15.994804999999999</v>
      </c>
    </row>
    <row r="65" spans="1:23" ht="15.75">
      <c r="A65" s="301">
        <v>43839.263888888891</v>
      </c>
      <c r="B65" s="301">
        <v>43839.274305555555</v>
      </c>
      <c r="C65" s="301">
        <f t="shared" si="3"/>
        <v>1.0416666664241347E-2</v>
      </c>
      <c r="D65" s="311">
        <v>2.0833333333333332E-2</v>
      </c>
      <c r="E65" s="329" t="s">
        <v>2</v>
      </c>
      <c r="F65" s="330"/>
      <c r="G65" s="330"/>
      <c r="H65" s="330"/>
      <c r="I65" s="330"/>
      <c r="J65" s="330"/>
      <c r="K65" s="330"/>
      <c r="L65" s="330"/>
      <c r="M65" s="330"/>
      <c r="N65" s="330"/>
      <c r="O65" s="330"/>
      <c r="P65" s="330"/>
      <c r="Q65" s="330"/>
      <c r="R65" s="330"/>
      <c r="S65" s="330"/>
      <c r="T65" s="330"/>
      <c r="U65" s="331"/>
      <c r="V65" s="247" t="e">
        <f>VLOOKUP(E65,Лист4!A$2:G$499,7)</f>
        <v>#N/A</v>
      </c>
      <c r="W65" s="247">
        <f>IF(ISNA(V65),VLOOKUP(E65,категория!A$16:C$41,3,),11.12+R65*8.333/VLOOKUP(V65,категория!A$16:C$41,2,))</f>
        <v>4.17</v>
      </c>
    </row>
    <row r="66" spans="1:23" ht="15.75">
      <c r="A66" s="301">
        <v>43839.274305555555</v>
      </c>
      <c r="B66" s="301">
        <v>43839.288194444445</v>
      </c>
      <c r="C66" s="301">
        <f t="shared" si="3"/>
        <v>1.3888888890505768E-2</v>
      </c>
      <c r="D66" s="311">
        <v>1.7361111111111112E-2</v>
      </c>
      <c r="E66" s="329" t="s">
        <v>3</v>
      </c>
      <c r="F66" s="330"/>
      <c r="G66" s="330"/>
      <c r="H66" s="330"/>
      <c r="I66" s="330"/>
      <c r="J66" s="330"/>
      <c r="K66" s="330"/>
      <c r="L66" s="330"/>
      <c r="M66" s="330"/>
      <c r="N66" s="330"/>
      <c r="O66" s="330"/>
      <c r="P66" s="330"/>
      <c r="Q66" s="330"/>
      <c r="R66" s="330"/>
      <c r="S66" s="330"/>
      <c r="T66" s="330"/>
      <c r="U66" s="331"/>
      <c r="V66" s="247" t="e">
        <f>VLOOKUP(E66,Лист4!A$2:G$499,7)</f>
        <v>#N/A</v>
      </c>
      <c r="W66" s="247">
        <f>IF(ISNA(V66),VLOOKUP(E66,категория!A$16:C$41,3,),11.12+R66*8.333/VLOOKUP(V66,категория!A$16:C$41,2,))</f>
        <v>3.48</v>
      </c>
    </row>
    <row r="67" spans="1:23" ht="15.75">
      <c r="A67" s="301">
        <v>43839.288194444445</v>
      </c>
      <c r="B67" s="301">
        <v>43839.333333333336</v>
      </c>
      <c r="C67" s="301">
        <f t="shared" si="3"/>
        <v>4.5138888890505768E-2</v>
      </c>
      <c r="D67" s="311">
        <v>4.1666666666666664E-2</v>
      </c>
      <c r="E67" s="329" t="s">
        <v>283</v>
      </c>
      <c r="F67" s="330"/>
      <c r="G67" s="330"/>
      <c r="H67" s="330"/>
      <c r="I67" s="330"/>
      <c r="J67" s="330"/>
      <c r="K67" s="330"/>
      <c r="L67" s="330"/>
      <c r="M67" s="330"/>
      <c r="N67" s="330"/>
      <c r="O67" s="330"/>
      <c r="P67" s="330"/>
      <c r="Q67" s="330"/>
      <c r="R67" s="330"/>
      <c r="S67" s="330"/>
      <c r="T67" s="330"/>
      <c r="U67" s="331"/>
      <c r="V67" s="247" t="e">
        <f>VLOOKUP(E67,Лист4!A$2:G$499,7)</f>
        <v>#N/A</v>
      </c>
      <c r="W67" s="247">
        <v>8.3330000000000002</v>
      </c>
    </row>
    <row r="68" spans="1:23" ht="15.75">
      <c r="A68" s="312">
        <v>43839.333333333336</v>
      </c>
      <c r="B68" s="332" t="s">
        <v>604</v>
      </c>
      <c r="C68" s="333"/>
      <c r="D68" s="334"/>
      <c r="E68" s="334"/>
      <c r="F68" s="334"/>
      <c r="G68" s="334"/>
      <c r="H68" s="334"/>
      <c r="I68" s="334"/>
      <c r="J68" s="334"/>
      <c r="K68" s="334"/>
      <c r="L68" s="334"/>
      <c r="M68" s="334"/>
      <c r="N68" s="334"/>
      <c r="O68" s="334"/>
      <c r="P68" s="334"/>
      <c r="Q68" s="334"/>
      <c r="R68" s="334"/>
      <c r="S68" s="334"/>
      <c r="T68" s="334"/>
      <c r="U68" s="335"/>
      <c r="V68" s="247" t="e">
        <f>VLOOKUP(E68,Лист4!A$2:G$499,7)</f>
        <v>#N/A</v>
      </c>
      <c r="W68" s="52">
        <f>SUM(W53:W67)</f>
        <v>102.7827525</v>
      </c>
    </row>
    <row r="69" spans="1:23" ht="15.75">
      <c r="A69" s="301">
        <v>43839.333333333336</v>
      </c>
      <c r="B69" s="301">
        <v>43839.666666666664</v>
      </c>
      <c r="C69" s="301">
        <f>B69-A69</f>
        <v>0.33333333332848269</v>
      </c>
      <c r="D69" s="311">
        <v>0.33333333333333331</v>
      </c>
      <c r="E69" s="329" t="s">
        <v>283</v>
      </c>
      <c r="F69" s="330"/>
      <c r="G69" s="330"/>
      <c r="H69" s="330"/>
      <c r="I69" s="330"/>
      <c r="J69" s="330"/>
      <c r="K69" s="330"/>
      <c r="L69" s="330"/>
      <c r="M69" s="330"/>
      <c r="N69" s="330"/>
      <c r="O69" s="330"/>
      <c r="P69" s="330"/>
      <c r="Q69" s="330"/>
      <c r="R69" s="330"/>
      <c r="S69" s="330"/>
      <c r="T69" s="330"/>
      <c r="U69" s="331"/>
      <c r="V69" s="247" t="e">
        <f>VLOOKUP(E69,Лист4!A$2:G$499,7)</f>
        <v>#N/A</v>
      </c>
      <c r="W69" s="247">
        <f>8*8.3333</f>
        <v>66.666399999999996</v>
      </c>
    </row>
    <row r="70" spans="1:23" ht="48">
      <c r="A70" s="301">
        <v>43839.666666666664</v>
      </c>
      <c r="B70" s="301">
        <v>43839.701388888891</v>
      </c>
      <c r="C70" s="301">
        <f t="shared" ref="C70:C73" si="4">B70-A70</f>
        <v>3.4722222226264421E-2</v>
      </c>
      <c r="D70" s="311">
        <v>3.4722222222222224E-2</v>
      </c>
      <c r="E70" s="302">
        <v>27</v>
      </c>
      <c r="F70" s="303" t="s">
        <v>605</v>
      </c>
      <c r="G70" s="303" t="s">
        <v>606</v>
      </c>
      <c r="H70" s="304" t="s">
        <v>226</v>
      </c>
      <c r="I70" s="305">
        <v>43846</v>
      </c>
      <c r="J70" s="306"/>
      <c r="K70" s="302" t="s">
        <v>227</v>
      </c>
      <c r="L70" s="307"/>
      <c r="M70" s="308"/>
      <c r="N70" s="303" t="s">
        <v>40</v>
      </c>
      <c r="O70" s="302">
        <v>325</v>
      </c>
      <c r="P70" s="302" t="s">
        <v>236</v>
      </c>
      <c r="Q70" s="309" t="s">
        <v>229</v>
      </c>
      <c r="R70" s="310">
        <v>1610</v>
      </c>
      <c r="S70" s="310">
        <v>1813</v>
      </c>
      <c r="T70" s="306" t="s">
        <v>232</v>
      </c>
      <c r="U70" s="310" t="s">
        <v>36</v>
      </c>
      <c r="V70" s="247" t="s">
        <v>57</v>
      </c>
      <c r="W70" s="247">
        <f>IF(ISNA(V70),VLOOKUP(E70,категория!A$16:C$41,3,),11.12+R70*8.333/VLOOKUP(V70,категория!A$16:C$41,2,))</f>
        <v>18.573405555555556</v>
      </c>
    </row>
    <row r="71" spans="1:23" ht="15.75">
      <c r="A71" s="301">
        <v>43839.701388888891</v>
      </c>
      <c r="B71" s="301">
        <v>43839.770833333336</v>
      </c>
      <c r="C71" s="301">
        <f t="shared" si="4"/>
        <v>6.9444444445252884E-2</v>
      </c>
      <c r="D71" s="311">
        <v>0.5</v>
      </c>
      <c r="E71" s="329" t="s">
        <v>10</v>
      </c>
      <c r="F71" s="330"/>
      <c r="G71" s="330"/>
      <c r="H71" s="330"/>
      <c r="I71" s="330"/>
      <c r="J71" s="330"/>
      <c r="K71" s="330"/>
      <c r="L71" s="330"/>
      <c r="M71" s="330"/>
      <c r="N71" s="330"/>
      <c r="O71" s="330"/>
      <c r="P71" s="330"/>
      <c r="Q71" s="330"/>
      <c r="R71" s="330"/>
      <c r="S71" s="330"/>
      <c r="T71" s="330"/>
      <c r="U71" s="331"/>
      <c r="V71" s="247" t="e">
        <f>VLOOKUP(E71,Лист4!A$2:G$499,7)</f>
        <v>#N/A</v>
      </c>
      <c r="W71" s="247">
        <f>IF(ISNA(V71),VLOOKUP(E71,категория!A$16:C$41,3,),11.12+R71*8.333/VLOOKUP(V71,категория!A$16:C$41,2,))</f>
        <v>8.3332999999999995</v>
      </c>
    </row>
    <row r="72" spans="1:23" ht="15.75">
      <c r="A72" s="301">
        <v>43839.770833333336</v>
      </c>
      <c r="B72" s="301">
        <v>43839.78125</v>
      </c>
      <c r="C72" s="301">
        <f t="shared" si="4"/>
        <v>1.0416666664241347E-2</v>
      </c>
      <c r="D72" s="311">
        <v>2.0833333333333332E-2</v>
      </c>
      <c r="E72" s="329" t="s">
        <v>2</v>
      </c>
      <c r="F72" s="330"/>
      <c r="G72" s="330"/>
      <c r="H72" s="330"/>
      <c r="I72" s="330"/>
      <c r="J72" s="330"/>
      <c r="K72" s="330"/>
      <c r="L72" s="330"/>
      <c r="M72" s="330"/>
      <c r="N72" s="330"/>
      <c r="O72" s="330"/>
      <c r="P72" s="330"/>
      <c r="Q72" s="330"/>
      <c r="R72" s="330"/>
      <c r="S72" s="330"/>
      <c r="T72" s="330"/>
      <c r="U72" s="331"/>
      <c r="V72" s="247" t="e">
        <f>VLOOKUP(E72,Лист4!A$2:G$499,7)</f>
        <v>#N/A</v>
      </c>
      <c r="W72" s="247">
        <f>IF(ISNA(V72),VLOOKUP(E72,категория!A$16:C$41,3,),11.12+R72*8.333/VLOOKUP(V72,категория!A$16:C$41,2,))</f>
        <v>4.17</v>
      </c>
    </row>
    <row r="73" spans="1:23" ht="15.75">
      <c r="A73" s="301">
        <v>43839.78125</v>
      </c>
      <c r="B73" s="301">
        <v>43839.833333333336</v>
      </c>
      <c r="C73" s="301">
        <f t="shared" si="4"/>
        <v>5.2083333335758653E-2</v>
      </c>
      <c r="D73" s="311">
        <v>4.1666666666666664E-2</v>
      </c>
      <c r="E73" s="329" t="s">
        <v>7</v>
      </c>
      <c r="F73" s="330"/>
      <c r="G73" s="330"/>
      <c r="H73" s="330"/>
      <c r="I73" s="330"/>
      <c r="J73" s="330"/>
      <c r="K73" s="330"/>
      <c r="L73" s="330"/>
      <c r="M73" s="330"/>
      <c r="N73" s="330"/>
      <c r="O73" s="330"/>
      <c r="P73" s="330"/>
      <c r="Q73" s="330"/>
      <c r="R73" s="330"/>
      <c r="S73" s="330"/>
      <c r="T73" s="330"/>
      <c r="U73" s="331"/>
      <c r="V73" s="247" t="e">
        <f>VLOOKUP(E73,Лист4!A$2:G$499,7)</f>
        <v>#N/A</v>
      </c>
      <c r="W73" s="247">
        <v>8.3330000000000002</v>
      </c>
    </row>
    <row r="74" spans="1:23" ht="15.75">
      <c r="A74" s="312">
        <v>43839.833333333336</v>
      </c>
      <c r="B74" s="332" t="s">
        <v>607</v>
      </c>
      <c r="C74" s="333"/>
      <c r="D74" s="334"/>
      <c r="E74" s="334"/>
      <c r="F74" s="334"/>
      <c r="G74" s="334"/>
      <c r="H74" s="334"/>
      <c r="I74" s="334"/>
      <c r="J74" s="334"/>
      <c r="K74" s="334"/>
      <c r="L74" s="334"/>
      <c r="M74" s="334"/>
      <c r="N74" s="334"/>
      <c r="O74" s="334"/>
      <c r="P74" s="334"/>
      <c r="Q74" s="334"/>
      <c r="R74" s="334"/>
      <c r="S74" s="334"/>
      <c r="T74" s="334"/>
      <c r="U74" s="335"/>
      <c r="V74" s="247" t="e">
        <f>VLOOKUP(E74,Лист4!A$2:G$499,7)</f>
        <v>#N/A</v>
      </c>
      <c r="W74" s="52">
        <f>SUM(W69:W73)</f>
        <v>106.07610555555554</v>
      </c>
    </row>
    <row r="75" spans="1:23" ht="15.75">
      <c r="A75" s="301">
        <v>43839.833333333336</v>
      </c>
      <c r="B75" s="301">
        <v>43840.333333333336</v>
      </c>
      <c r="C75" s="301"/>
      <c r="D75" s="311">
        <v>4.1666666666666664E-2</v>
      </c>
      <c r="E75" s="329" t="s">
        <v>283</v>
      </c>
      <c r="F75" s="330"/>
      <c r="G75" s="330"/>
      <c r="H75" s="330"/>
      <c r="I75" s="330"/>
      <c r="J75" s="330"/>
      <c r="K75" s="330"/>
      <c r="L75" s="330"/>
      <c r="M75" s="330"/>
      <c r="N75" s="330"/>
      <c r="O75" s="330"/>
      <c r="P75" s="330"/>
      <c r="Q75" s="330"/>
      <c r="R75" s="330"/>
      <c r="S75" s="330"/>
      <c r="T75" s="330"/>
      <c r="U75" s="331"/>
      <c r="V75" s="247" t="e">
        <f>VLOOKUP(E75,Лист4!A$2:G$499,7)</f>
        <v>#N/A</v>
      </c>
      <c r="W75" s="247">
        <v>100</v>
      </c>
    </row>
    <row r="76" spans="1:23" ht="15" customHeight="1">
      <c r="A76" s="312">
        <v>43840.333333333336</v>
      </c>
      <c r="B76" s="332" t="s">
        <v>608</v>
      </c>
      <c r="C76" s="333"/>
      <c r="D76" s="334"/>
      <c r="E76" s="334"/>
      <c r="F76" s="334"/>
      <c r="G76" s="334"/>
      <c r="H76" s="334"/>
      <c r="I76" s="334"/>
      <c r="J76" s="334"/>
      <c r="K76" s="334"/>
      <c r="L76" s="334"/>
      <c r="M76" s="334"/>
      <c r="N76" s="334"/>
      <c r="O76" s="334"/>
      <c r="P76" s="334"/>
      <c r="Q76" s="334"/>
      <c r="R76" s="334"/>
      <c r="S76" s="334"/>
      <c r="T76" s="334"/>
      <c r="U76" s="335"/>
      <c r="V76" s="247" t="e">
        <f>VLOOKUP(E76,Лист4!A$2:G$499,7)</f>
        <v>#N/A</v>
      </c>
      <c r="W76" s="247" t="e">
        <f>IF(ISNA(V76),VLOOKUP(E76,категория!A$16:C$41,3,),11.12+R76*8.333/VLOOKUP(V76,категория!A$16:C$41,2,))</f>
        <v>#N/A</v>
      </c>
    </row>
    <row r="77" spans="1:23" ht="15.75">
      <c r="A77" s="301">
        <v>43840.333333333336</v>
      </c>
      <c r="B77" s="301">
        <v>43840.354166666664</v>
      </c>
      <c r="C77" s="301">
        <f>B77-A77</f>
        <v>2.0833333328482695E-2</v>
      </c>
      <c r="D77" s="311">
        <v>2.0833333333333332E-2</v>
      </c>
      <c r="E77" s="329" t="s">
        <v>22</v>
      </c>
      <c r="F77" s="330"/>
      <c r="G77" s="330"/>
      <c r="H77" s="330"/>
      <c r="I77" s="330"/>
      <c r="J77" s="330"/>
      <c r="K77" s="330"/>
      <c r="L77" s="330"/>
      <c r="M77" s="330"/>
      <c r="N77" s="330"/>
      <c r="O77" s="330"/>
      <c r="P77" s="330"/>
      <c r="Q77" s="330"/>
      <c r="R77" s="330"/>
      <c r="S77" s="330"/>
      <c r="T77" s="330"/>
      <c r="U77" s="331"/>
      <c r="V77" s="247" t="e">
        <f>VLOOKUP(E77,Лист4!A$2:G$499,7)</f>
        <v>#N/A</v>
      </c>
      <c r="W77" s="247">
        <f>IF(ISNA(V77),VLOOKUP(E77,категория!A$16:C$41,3,),11.12+R77*8.333/VLOOKUP(V77,категория!A$16:C$41,2,))</f>
        <v>4.17</v>
      </c>
    </row>
    <row r="78" spans="1:23" ht="15.75">
      <c r="A78" s="301">
        <v>43840.354166666664</v>
      </c>
      <c r="B78" s="301">
        <v>43840.510416666664</v>
      </c>
      <c r="C78" s="301">
        <f t="shared" ref="C78:C81" si="5">B78-A78</f>
        <v>0.15625</v>
      </c>
      <c r="D78" s="311">
        <v>4.1666666666666664E-2</v>
      </c>
      <c r="E78" s="329" t="s">
        <v>263</v>
      </c>
      <c r="F78" s="330"/>
      <c r="G78" s="330"/>
      <c r="H78" s="330"/>
      <c r="I78" s="330"/>
      <c r="J78" s="330"/>
      <c r="K78" s="330"/>
      <c r="L78" s="330"/>
      <c r="M78" s="330"/>
      <c r="N78" s="330"/>
      <c r="O78" s="330"/>
      <c r="P78" s="330"/>
      <c r="Q78" s="330"/>
      <c r="R78" s="330"/>
      <c r="S78" s="330"/>
      <c r="T78" s="330"/>
      <c r="U78" s="331"/>
      <c r="V78" s="247" t="e">
        <f>VLOOKUP(E78,Лист4!A$2:G$499,7)</f>
        <v>#N/A</v>
      </c>
      <c r="W78" s="247">
        <f>8.33*3.75</f>
        <v>31.237500000000001</v>
      </c>
    </row>
    <row r="79" spans="1:23" ht="84">
      <c r="A79" s="301">
        <v>43840.510416666664</v>
      </c>
      <c r="B79" s="301">
        <v>43840.572916666664</v>
      </c>
      <c r="C79" s="301">
        <f t="shared" si="5"/>
        <v>6.25E-2</v>
      </c>
      <c r="D79" s="311">
        <v>6.25E-2</v>
      </c>
      <c r="E79" s="302">
        <v>38</v>
      </c>
      <c r="F79" s="303" t="s">
        <v>609</v>
      </c>
      <c r="G79" s="303" t="s">
        <v>610</v>
      </c>
      <c r="H79" s="304" t="s">
        <v>226</v>
      </c>
      <c r="I79" s="305">
        <v>43850</v>
      </c>
      <c r="J79" s="306"/>
      <c r="K79" s="302" t="s">
        <v>227</v>
      </c>
      <c r="L79" s="307"/>
      <c r="M79" s="308"/>
      <c r="N79" s="303" t="s">
        <v>35</v>
      </c>
      <c r="O79" s="302">
        <v>270</v>
      </c>
      <c r="P79" s="302" t="s">
        <v>228</v>
      </c>
      <c r="Q79" s="309" t="s">
        <v>229</v>
      </c>
      <c r="R79" s="310">
        <v>1275</v>
      </c>
      <c r="S79" s="310">
        <v>1447</v>
      </c>
      <c r="T79" s="306" t="s">
        <v>232</v>
      </c>
      <c r="U79" s="310" t="s">
        <v>593</v>
      </c>
      <c r="V79" s="247" t="s">
        <v>57</v>
      </c>
      <c r="W79" s="247">
        <f>IF(ISNA(V79),VLOOKUP(E79,категория!A$16:C$41,3,),11.12+R79*8.333/VLOOKUP(V79,категория!A$16:C$41,2,))</f>
        <v>17.022541666666665</v>
      </c>
    </row>
    <row r="80" spans="1:23" ht="15.75">
      <c r="A80" s="301">
        <v>43840.572916666664</v>
      </c>
      <c r="B80" s="301">
        <v>43840.579861111109</v>
      </c>
      <c r="C80" s="301">
        <f t="shared" si="5"/>
        <v>6.9444444452528842E-3</v>
      </c>
      <c r="D80" s="311">
        <v>1.0416666666666666E-2</v>
      </c>
      <c r="E80" s="329" t="s">
        <v>170</v>
      </c>
      <c r="F80" s="330"/>
      <c r="G80" s="330"/>
      <c r="H80" s="330"/>
      <c r="I80" s="330"/>
      <c r="J80" s="330"/>
      <c r="K80" s="330"/>
      <c r="L80" s="330"/>
      <c r="M80" s="330"/>
      <c r="N80" s="330"/>
      <c r="O80" s="330"/>
      <c r="P80" s="330"/>
      <c r="Q80" s="330"/>
      <c r="R80" s="330"/>
      <c r="S80" s="330"/>
      <c r="T80" s="330"/>
      <c r="U80" s="331"/>
      <c r="V80" s="247" t="e">
        <f>VLOOKUP(E80,Лист4!A$2:G$499,7)</f>
        <v>#N/A</v>
      </c>
      <c r="W80" s="247">
        <f>IF(ISNA(V80),VLOOKUP(E80,категория!A$16:C$41,3,),11.12+R80*8.333/VLOOKUP(V80,категория!A$16:C$41,2,))</f>
        <v>2.78</v>
      </c>
    </row>
    <row r="81" spans="1:23" ht="15.75">
      <c r="A81" s="301">
        <v>43840.579861111109</v>
      </c>
      <c r="B81" s="301">
        <v>43840.833333333336</v>
      </c>
      <c r="C81" s="301">
        <f t="shared" si="5"/>
        <v>0.25347222222626442</v>
      </c>
      <c r="D81" s="311">
        <v>0.25347222222222221</v>
      </c>
      <c r="E81" s="329" t="s">
        <v>283</v>
      </c>
      <c r="F81" s="330"/>
      <c r="G81" s="330"/>
      <c r="H81" s="330"/>
      <c r="I81" s="330"/>
      <c r="J81" s="330"/>
      <c r="K81" s="330"/>
      <c r="L81" s="330"/>
      <c r="M81" s="330"/>
      <c r="N81" s="330"/>
      <c r="O81" s="330"/>
      <c r="P81" s="330"/>
      <c r="Q81" s="330"/>
      <c r="R81" s="330"/>
      <c r="S81" s="330"/>
      <c r="T81" s="330"/>
      <c r="U81" s="331"/>
      <c r="V81" s="247" t="e">
        <f>VLOOKUP(E81,Лист4!A$2:G$499,7)</f>
        <v>#N/A</v>
      </c>
      <c r="W81" s="247">
        <f>6*8.333</f>
        <v>49.998000000000005</v>
      </c>
    </row>
    <row r="82" spans="1:23" ht="15.75">
      <c r="A82" s="312">
        <v>43840.833333333336</v>
      </c>
      <c r="B82" s="332" t="s">
        <v>611</v>
      </c>
      <c r="C82" s="333"/>
      <c r="D82" s="334"/>
      <c r="E82" s="334"/>
      <c r="F82" s="334"/>
      <c r="G82" s="334"/>
      <c r="H82" s="334"/>
      <c r="I82" s="334"/>
      <c r="J82" s="334"/>
      <c r="K82" s="334"/>
      <c r="L82" s="334"/>
      <c r="M82" s="334"/>
      <c r="N82" s="334"/>
      <c r="O82" s="334"/>
      <c r="P82" s="334"/>
      <c r="Q82" s="334"/>
      <c r="R82" s="334"/>
      <c r="S82" s="334"/>
      <c r="T82" s="334"/>
      <c r="U82" s="335"/>
      <c r="V82" s="247" t="e">
        <f>VLOOKUP(E82,Лист4!A$2:G$499,7)</f>
        <v>#N/A</v>
      </c>
      <c r="W82" s="52">
        <f>SUM(W77:W81)</f>
        <v>105.20804166666667</v>
      </c>
    </row>
    <row r="83" spans="1:23" ht="15.75">
      <c r="A83" s="301">
        <v>43840.833333333336</v>
      </c>
      <c r="B83" s="301">
        <v>43841.333333333336</v>
      </c>
      <c r="C83" s="301"/>
      <c r="D83" s="311">
        <v>0.5</v>
      </c>
      <c r="E83" s="329" t="s">
        <v>283</v>
      </c>
      <c r="F83" s="330"/>
      <c r="G83" s="330"/>
      <c r="H83" s="330"/>
      <c r="I83" s="330"/>
      <c r="J83" s="330"/>
      <c r="K83" s="330"/>
      <c r="L83" s="330"/>
      <c r="M83" s="330"/>
      <c r="N83" s="330"/>
      <c r="O83" s="330"/>
      <c r="P83" s="330"/>
      <c r="Q83" s="330"/>
      <c r="R83" s="330"/>
      <c r="S83" s="330"/>
      <c r="T83" s="330"/>
      <c r="U83" s="331"/>
      <c r="V83" s="247" t="e">
        <f>VLOOKUP(E83,Лист4!A$2:G$499,7)</f>
        <v>#N/A</v>
      </c>
      <c r="W83" s="247" t="e">
        <f>IF(ISNA(V83),VLOOKUP(E83,категория!A$16:C$41,3,),11.12+R83*8.333/VLOOKUP(V83,категория!A$16:C$41,2,))</f>
        <v>#N/A</v>
      </c>
    </row>
    <row r="84" spans="1:23" ht="15.75">
      <c r="A84" s="312">
        <v>43841.333333333336</v>
      </c>
      <c r="B84" s="332" t="s">
        <v>612</v>
      </c>
      <c r="C84" s="333"/>
      <c r="D84" s="334"/>
      <c r="E84" s="334"/>
      <c r="F84" s="334"/>
      <c r="G84" s="334"/>
      <c r="H84" s="334"/>
      <c r="I84" s="334"/>
      <c r="J84" s="334"/>
      <c r="K84" s="334"/>
      <c r="L84" s="334"/>
      <c r="M84" s="334"/>
      <c r="N84" s="334"/>
      <c r="O84" s="334"/>
      <c r="P84" s="334"/>
      <c r="Q84" s="334"/>
      <c r="R84" s="334"/>
      <c r="S84" s="334"/>
      <c r="T84" s="334"/>
      <c r="U84" s="335"/>
      <c r="V84" s="247" t="e">
        <f>VLOOKUP(E84,Лист4!A$2:G$499,7)</f>
        <v>#N/A</v>
      </c>
      <c r="W84" s="247" t="e">
        <f>IF(ISNA(V84),VLOOKUP(E84,категория!A$16:C$41,3,),11.12+R84*8.333/VLOOKUP(V84,категория!A$16:C$41,2,))</f>
        <v>#N/A</v>
      </c>
    </row>
    <row r="85" spans="1:23" ht="15.75">
      <c r="A85" s="301">
        <v>43841.333333333336</v>
      </c>
      <c r="B85" s="301">
        <v>43841.354166666664</v>
      </c>
      <c r="C85" s="301">
        <f>B85-A85</f>
        <v>2.0833333328482695E-2</v>
      </c>
      <c r="D85" s="311">
        <v>2.0833333333333332E-2</v>
      </c>
      <c r="E85" s="329" t="s">
        <v>22</v>
      </c>
      <c r="F85" s="330"/>
      <c r="G85" s="330"/>
      <c r="H85" s="330"/>
      <c r="I85" s="330"/>
      <c r="J85" s="330"/>
      <c r="K85" s="330"/>
      <c r="L85" s="330"/>
      <c r="M85" s="330"/>
      <c r="N85" s="330"/>
      <c r="O85" s="330"/>
      <c r="P85" s="330"/>
      <c r="Q85" s="330"/>
      <c r="R85" s="330"/>
      <c r="S85" s="330"/>
      <c r="T85" s="330"/>
      <c r="U85" s="331"/>
      <c r="V85" s="247" t="e">
        <f>VLOOKUP(E85,Лист4!A$2:G$499,7)</f>
        <v>#N/A</v>
      </c>
      <c r="W85" s="247">
        <f>IF(ISNA(V85),VLOOKUP(E85,категория!A$16:C$41,3,),11.12+R85*8.333/VLOOKUP(V85,категория!A$16:C$41,2,))</f>
        <v>4.17</v>
      </c>
    </row>
    <row r="86" spans="1:23" ht="15.75">
      <c r="A86" s="301">
        <v>43841.354166666664</v>
      </c>
      <c r="B86" s="301">
        <v>43841.520833333336</v>
      </c>
      <c r="C86" s="301">
        <f t="shared" ref="C86:C91" si="6">B86-A86</f>
        <v>0.16666666667151731</v>
      </c>
      <c r="D86" s="311">
        <v>4.1666666666666664E-2</v>
      </c>
      <c r="E86" s="329" t="s">
        <v>283</v>
      </c>
      <c r="F86" s="330"/>
      <c r="G86" s="330"/>
      <c r="H86" s="330"/>
      <c r="I86" s="330"/>
      <c r="J86" s="330"/>
      <c r="K86" s="330"/>
      <c r="L86" s="330"/>
      <c r="M86" s="330"/>
      <c r="N86" s="330"/>
      <c r="O86" s="330"/>
      <c r="P86" s="330"/>
      <c r="Q86" s="330"/>
      <c r="R86" s="330"/>
      <c r="S86" s="330"/>
      <c r="T86" s="330"/>
      <c r="U86" s="331"/>
      <c r="V86" s="247" t="e">
        <f>VLOOKUP(E86,Лист4!A$2:G$499,7)</f>
        <v>#N/A</v>
      </c>
      <c r="W86" s="247">
        <f>4*8.333</f>
        <v>33.332000000000001</v>
      </c>
    </row>
    <row r="87" spans="1:23" ht="15.75">
      <c r="A87" s="301">
        <v>43841.520833333336</v>
      </c>
      <c r="B87" s="301">
        <v>43841.583333333336</v>
      </c>
      <c r="C87" s="301">
        <f t="shared" si="6"/>
        <v>6.25E-2</v>
      </c>
      <c r="D87" s="311">
        <v>5.2083333333333336E-2</v>
      </c>
      <c r="E87" s="329" t="s">
        <v>5</v>
      </c>
      <c r="F87" s="330"/>
      <c r="G87" s="330"/>
      <c r="H87" s="330"/>
      <c r="I87" s="330"/>
      <c r="J87" s="330"/>
      <c r="K87" s="330"/>
      <c r="L87" s="330"/>
      <c r="M87" s="330"/>
      <c r="N87" s="330"/>
      <c r="O87" s="330"/>
      <c r="P87" s="330"/>
      <c r="Q87" s="330"/>
      <c r="R87" s="330"/>
      <c r="S87" s="330"/>
      <c r="T87" s="330"/>
      <c r="U87" s="331"/>
      <c r="V87" s="247" t="e">
        <f>VLOOKUP(E87,Лист4!A$2:G$499,7)</f>
        <v>#N/A</v>
      </c>
      <c r="W87" s="247">
        <f>IF(ISNA(V87),VLOOKUP(E87,категория!A$16:C$41,3,),11.12+R87*8.333/VLOOKUP(V87,категория!A$16:C$41,2,))</f>
        <v>10.43</v>
      </c>
    </row>
    <row r="88" spans="1:23" ht="15.75">
      <c r="A88" s="301">
        <v>43841.583333333336</v>
      </c>
      <c r="B88" s="301">
        <v>43841.604166666664</v>
      </c>
      <c r="C88" s="301">
        <f t="shared" si="6"/>
        <v>2.0833333328482695E-2</v>
      </c>
      <c r="D88" s="311">
        <v>2.0833333333333332E-2</v>
      </c>
      <c r="E88" s="329" t="s">
        <v>8</v>
      </c>
      <c r="F88" s="330"/>
      <c r="G88" s="330"/>
      <c r="H88" s="330"/>
      <c r="I88" s="330"/>
      <c r="J88" s="330"/>
      <c r="K88" s="330"/>
      <c r="L88" s="330"/>
      <c r="M88" s="330"/>
      <c r="N88" s="330"/>
      <c r="O88" s="330"/>
      <c r="P88" s="330"/>
      <c r="Q88" s="330"/>
      <c r="R88" s="330"/>
      <c r="S88" s="330"/>
      <c r="T88" s="330"/>
      <c r="U88" s="331"/>
      <c r="V88" s="247" t="e">
        <f>VLOOKUP(E88,Лист4!A$2:G$499,7)</f>
        <v>#N/A</v>
      </c>
      <c r="W88" s="247">
        <f>IF(ISNA(V88),VLOOKUP(E88,категория!A$16:C$41,3,),11.12+R88*8.333/VLOOKUP(V88,категория!A$16:C$41,2,))</f>
        <v>4.17</v>
      </c>
    </row>
    <row r="89" spans="1:23" ht="15" customHeight="1">
      <c r="A89" s="301">
        <v>43841.604166666664</v>
      </c>
      <c r="B89" s="301">
        <v>43841.802083333336</v>
      </c>
      <c r="C89" s="301">
        <f t="shared" si="6"/>
        <v>0.19791666667151731</v>
      </c>
      <c r="D89" s="311">
        <v>0.19791666666666666</v>
      </c>
      <c r="E89" s="302">
        <v>47</v>
      </c>
      <c r="F89" s="303" t="s">
        <v>250</v>
      </c>
      <c r="G89" s="303" t="s">
        <v>449</v>
      </c>
      <c r="H89" s="304" t="s">
        <v>613</v>
      </c>
      <c r="I89" s="305">
        <v>43850</v>
      </c>
      <c r="J89" s="306"/>
      <c r="K89" s="302" t="s">
        <v>227</v>
      </c>
      <c r="L89" s="307"/>
      <c r="M89" s="308"/>
      <c r="N89" s="303" t="s">
        <v>38</v>
      </c>
      <c r="O89" s="302">
        <v>80</v>
      </c>
      <c r="P89" s="302" t="s">
        <v>614</v>
      </c>
      <c r="Q89" s="309" t="s">
        <v>229</v>
      </c>
      <c r="R89" s="310">
        <v>9400</v>
      </c>
      <c r="S89" s="310">
        <v>10993</v>
      </c>
      <c r="T89" s="306"/>
      <c r="U89" s="310" t="s">
        <v>593</v>
      </c>
      <c r="V89" s="247" t="str">
        <f>VLOOKUP(E89,Лист4!A$2:G$499,7)</f>
        <v>мел+офсет</v>
      </c>
      <c r="W89" s="247">
        <f>IF(ISNA(V89),VLOOKUP(E89,категория!A$16:C$41,3,),11.12+R89*8.333/VLOOKUP(V89,категория!A$16:C$41,2,))</f>
        <v>42.452079999999995</v>
      </c>
    </row>
    <row r="90" spans="1:23" ht="15.75">
      <c r="A90" s="301">
        <v>43841.802083333336</v>
      </c>
      <c r="B90" s="301">
        <v>43841.822916666664</v>
      </c>
      <c r="C90" s="301">
        <f t="shared" si="6"/>
        <v>2.0833333328482695E-2</v>
      </c>
      <c r="D90" s="311">
        <v>2.0833333333333332E-2</v>
      </c>
      <c r="E90" s="329" t="s">
        <v>2</v>
      </c>
      <c r="F90" s="330"/>
      <c r="G90" s="330"/>
      <c r="H90" s="330"/>
      <c r="I90" s="330"/>
      <c r="J90" s="330"/>
      <c r="K90" s="330"/>
      <c r="L90" s="330"/>
      <c r="M90" s="330"/>
      <c r="N90" s="330"/>
      <c r="O90" s="330"/>
      <c r="P90" s="330"/>
      <c r="Q90" s="330"/>
      <c r="R90" s="330"/>
      <c r="S90" s="330"/>
      <c r="T90" s="330"/>
      <c r="U90" s="331"/>
      <c r="V90" s="247" t="e">
        <f>VLOOKUP(E90,Лист4!A$2:G$499,7)</f>
        <v>#N/A</v>
      </c>
      <c r="W90" s="247">
        <f>IF(ISNA(V90),VLOOKUP(E90,категория!A$16:C$41,3,),11.12+R90*8.333/VLOOKUP(V90,категория!A$16:C$41,2,))</f>
        <v>4.17</v>
      </c>
    </row>
    <row r="91" spans="1:23" ht="15.75">
      <c r="A91" s="301">
        <v>43841.822916666664</v>
      </c>
      <c r="B91" s="301">
        <v>43841.833333333336</v>
      </c>
      <c r="C91" s="301">
        <f t="shared" si="6"/>
        <v>1.0416666671517305E-2</v>
      </c>
      <c r="D91" s="311">
        <v>2.0833333333333332E-2</v>
      </c>
      <c r="E91" s="329" t="s">
        <v>22</v>
      </c>
      <c r="F91" s="330"/>
      <c r="G91" s="330"/>
      <c r="H91" s="330"/>
      <c r="I91" s="330"/>
      <c r="J91" s="330"/>
      <c r="K91" s="330"/>
      <c r="L91" s="330"/>
      <c r="M91" s="330"/>
      <c r="N91" s="330"/>
      <c r="O91" s="330"/>
      <c r="P91" s="330"/>
      <c r="Q91" s="330"/>
      <c r="R91" s="330"/>
      <c r="S91" s="330"/>
      <c r="T91" s="330"/>
      <c r="U91" s="331"/>
      <c r="V91" s="247" t="e">
        <f>VLOOKUP(E91,Лист4!A$2:G$499,7)</f>
        <v>#N/A</v>
      </c>
      <c r="W91" s="247">
        <f>IF(ISNA(V91),VLOOKUP(E91,категория!A$16:C$41,3,),11.12+R91*8.333/VLOOKUP(V91,категория!A$16:C$41,2,))</f>
        <v>4.17</v>
      </c>
    </row>
    <row r="92" spans="1:23" ht="15.75">
      <c r="A92" s="312">
        <v>43841.833333333336</v>
      </c>
      <c r="B92" s="332" t="s">
        <v>615</v>
      </c>
      <c r="C92" s="333"/>
      <c r="D92" s="334"/>
      <c r="E92" s="334"/>
      <c r="F92" s="334"/>
      <c r="G92" s="334"/>
      <c r="H92" s="334"/>
      <c r="I92" s="334"/>
      <c r="J92" s="334"/>
      <c r="K92" s="334"/>
      <c r="L92" s="334"/>
      <c r="M92" s="334"/>
      <c r="N92" s="334"/>
      <c r="O92" s="334"/>
      <c r="P92" s="334"/>
      <c r="Q92" s="334"/>
      <c r="R92" s="334"/>
      <c r="S92" s="334"/>
      <c r="T92" s="334"/>
      <c r="U92" s="335"/>
      <c r="V92" s="247" t="e">
        <f>VLOOKUP(E92,Лист4!A$2:G$499,7)</f>
        <v>#N/A</v>
      </c>
      <c r="W92" s="52">
        <f>SUM(W85:W91)</f>
        <v>102.89408</v>
      </c>
    </row>
    <row r="93" spans="1:23" ht="15.75">
      <c r="A93" s="301">
        <v>43841.833333333336</v>
      </c>
      <c r="B93" s="301">
        <v>43841.854166666664</v>
      </c>
      <c r="C93" s="301">
        <f>B93-A93</f>
        <v>2.0833333328482695E-2</v>
      </c>
      <c r="D93" s="311">
        <v>2.0833333333333332E-2</v>
      </c>
      <c r="E93" s="329" t="s">
        <v>22</v>
      </c>
      <c r="F93" s="330"/>
      <c r="G93" s="330"/>
      <c r="H93" s="330"/>
      <c r="I93" s="330"/>
      <c r="J93" s="330"/>
      <c r="K93" s="330"/>
      <c r="L93" s="330"/>
      <c r="M93" s="330"/>
      <c r="N93" s="330"/>
      <c r="O93" s="330"/>
      <c r="P93" s="330"/>
      <c r="Q93" s="330"/>
      <c r="R93" s="330"/>
      <c r="S93" s="330"/>
      <c r="T93" s="330"/>
      <c r="U93" s="331"/>
      <c r="V93" s="247" t="e">
        <f>VLOOKUP(E93,Лист4!A$2:G$499,7)</f>
        <v>#N/A</v>
      </c>
      <c r="W93" s="247">
        <f>IF(ISNA(V93),VLOOKUP(E93,категория!A$16:C$41,3,),11.12+R93*8.333/VLOOKUP(V93,категория!A$16:C$41,2,))</f>
        <v>4.17</v>
      </c>
    </row>
    <row r="94" spans="1:23" ht="72">
      <c r="A94" s="301">
        <v>43841.854166666664</v>
      </c>
      <c r="B94" s="301">
        <v>43842.006944444445</v>
      </c>
      <c r="C94" s="301">
        <f t="shared" ref="C94:C97" si="7">B94-A94</f>
        <v>0.15277777778101154</v>
      </c>
      <c r="D94" s="311">
        <v>0.15277777777777776</v>
      </c>
      <c r="E94" s="302">
        <v>47</v>
      </c>
      <c r="F94" s="303" t="s">
        <v>250</v>
      </c>
      <c r="G94" s="303" t="s">
        <v>449</v>
      </c>
      <c r="H94" s="304" t="s">
        <v>616</v>
      </c>
      <c r="I94" s="305">
        <v>43850</v>
      </c>
      <c r="J94" s="306"/>
      <c r="K94" s="302" t="s">
        <v>227</v>
      </c>
      <c r="L94" s="307"/>
      <c r="M94" s="308"/>
      <c r="N94" s="303" t="s">
        <v>38</v>
      </c>
      <c r="O94" s="302">
        <v>80</v>
      </c>
      <c r="P94" s="302" t="s">
        <v>614</v>
      </c>
      <c r="Q94" s="309" t="s">
        <v>229</v>
      </c>
      <c r="R94" s="310">
        <v>9750</v>
      </c>
      <c r="S94" s="310">
        <v>8485</v>
      </c>
      <c r="T94" s="306"/>
      <c r="U94" s="310" t="s">
        <v>37</v>
      </c>
      <c r="V94" s="247" t="str">
        <f>VLOOKUP(E94,Лист4!A$2:G$499,7)</f>
        <v>мел+офсет</v>
      </c>
      <c r="W94" s="247">
        <f>IF(ISNA(V94),VLOOKUP(E94,категория!A$16:C$41,3,),R94*8.333/VLOOKUP(V94,категория!A$16:C$41,2,))</f>
        <v>32.498699999999999</v>
      </c>
    </row>
    <row r="95" spans="1:23" ht="15.75">
      <c r="A95" s="301">
        <v>43842.006944444445</v>
      </c>
      <c r="B95" s="301">
        <v>43842.027777777781</v>
      </c>
      <c r="C95" s="301">
        <f t="shared" si="7"/>
        <v>2.0833333335758653E-2</v>
      </c>
      <c r="D95" s="311">
        <v>2.0833333333333332E-2</v>
      </c>
      <c r="E95" s="329" t="s">
        <v>2</v>
      </c>
      <c r="F95" s="330"/>
      <c r="G95" s="330"/>
      <c r="H95" s="330"/>
      <c r="I95" s="330"/>
      <c r="J95" s="330"/>
      <c r="K95" s="330"/>
      <c r="L95" s="330"/>
      <c r="M95" s="330"/>
      <c r="N95" s="330"/>
      <c r="O95" s="330"/>
      <c r="P95" s="330"/>
      <c r="Q95" s="330"/>
      <c r="R95" s="330"/>
      <c r="S95" s="330"/>
      <c r="T95" s="330"/>
      <c r="U95" s="331"/>
      <c r="V95" s="247" t="e">
        <f>VLOOKUP(E95,Лист4!A$2:G$499,7)</f>
        <v>#N/A</v>
      </c>
      <c r="W95" s="247">
        <f>IF(ISNA(V95),VLOOKUP(E95,категория!A$16:C$41,3,),11.12+R95*8.333/VLOOKUP(V95,категория!A$16:C$41,2,))</f>
        <v>4.17</v>
      </c>
    </row>
    <row r="96" spans="1:23" ht="15.75">
      <c r="A96" s="301">
        <v>43842.027777777781</v>
      </c>
      <c r="B96" s="301">
        <v>43842.048611111109</v>
      </c>
      <c r="C96" s="301">
        <f t="shared" si="7"/>
        <v>2.0833333328482695E-2</v>
      </c>
      <c r="D96" s="311">
        <v>2.0833333333333332E-2</v>
      </c>
      <c r="E96" s="329" t="s">
        <v>23</v>
      </c>
      <c r="F96" s="330"/>
      <c r="G96" s="330"/>
      <c r="H96" s="330"/>
      <c r="I96" s="330"/>
      <c r="J96" s="330"/>
      <c r="K96" s="330"/>
      <c r="L96" s="330"/>
      <c r="M96" s="330"/>
      <c r="N96" s="330"/>
      <c r="O96" s="330"/>
      <c r="P96" s="330"/>
      <c r="Q96" s="330"/>
      <c r="R96" s="330"/>
      <c r="S96" s="330"/>
      <c r="T96" s="330"/>
      <c r="U96" s="331"/>
      <c r="V96" s="247" t="e">
        <f>VLOOKUP(E96,Лист4!A$2:G$499,7)</f>
        <v>#N/A</v>
      </c>
      <c r="W96" s="247">
        <f>IF(ISNA(V96),VLOOKUP(E96,категория!A$16:C$41,3,),11.12+R96*8.333/VLOOKUP(V96,категория!A$16:C$41,2,))</f>
        <v>2.78</v>
      </c>
    </row>
    <row r="97" spans="1:23" ht="29.25" customHeight="1">
      <c r="A97" s="301">
        <v>43842.048611111109</v>
      </c>
      <c r="B97" s="301">
        <v>43842.333333333336</v>
      </c>
      <c r="C97" s="301">
        <f t="shared" si="7"/>
        <v>0.28472222222626442</v>
      </c>
      <c r="D97" s="311">
        <v>4.1666666666666664E-2</v>
      </c>
      <c r="E97" s="329" t="s">
        <v>283</v>
      </c>
      <c r="F97" s="330"/>
      <c r="G97" s="330"/>
      <c r="H97" s="330"/>
      <c r="I97" s="330"/>
      <c r="J97" s="330"/>
      <c r="K97" s="330"/>
      <c r="L97" s="330"/>
      <c r="M97" s="330"/>
      <c r="N97" s="330"/>
      <c r="O97" s="330"/>
      <c r="P97" s="330"/>
      <c r="Q97" s="330"/>
      <c r="R97" s="330"/>
      <c r="S97" s="330"/>
      <c r="T97" s="330"/>
      <c r="U97" s="331"/>
      <c r="V97" s="247" t="e">
        <f>VLOOKUP(E97,Лист4!A$2:G$499,7)</f>
        <v>#N/A</v>
      </c>
      <c r="W97" s="247">
        <f>6.86*8.333</f>
        <v>57.164380000000001</v>
      </c>
    </row>
    <row r="98" spans="1:23" ht="15.75">
      <c r="A98" s="312">
        <v>43842.333333333336</v>
      </c>
      <c r="B98" s="332" t="s">
        <v>617</v>
      </c>
      <c r="C98" s="333"/>
      <c r="D98" s="334"/>
      <c r="E98" s="334"/>
      <c r="F98" s="334"/>
      <c r="G98" s="334"/>
      <c r="H98" s="334"/>
      <c r="I98" s="334"/>
      <c r="J98" s="334"/>
      <c r="K98" s="334"/>
      <c r="L98" s="334"/>
      <c r="M98" s="334"/>
      <c r="N98" s="334"/>
      <c r="O98" s="334"/>
      <c r="P98" s="334"/>
      <c r="Q98" s="334"/>
      <c r="R98" s="334"/>
      <c r="S98" s="334"/>
      <c r="T98" s="334"/>
      <c r="U98" s="335"/>
      <c r="V98" s="247" t="e">
        <f>VLOOKUP(E98,Лист4!A$2:G$499,7)</f>
        <v>#N/A</v>
      </c>
      <c r="W98" s="52">
        <f>SUM(W93:W97)</f>
        <v>100.78308000000001</v>
      </c>
    </row>
    <row r="99" spans="1:23" ht="15.75">
      <c r="A99" s="301">
        <v>43842.333333333336</v>
      </c>
      <c r="B99" s="301">
        <v>43842.833333333336</v>
      </c>
      <c r="C99" s="301"/>
      <c r="D99" s="311">
        <v>4.1666666666666664E-2</v>
      </c>
      <c r="E99" s="329" t="s">
        <v>283</v>
      </c>
      <c r="F99" s="330"/>
      <c r="G99" s="330"/>
      <c r="H99" s="330"/>
      <c r="I99" s="330"/>
      <c r="J99" s="330"/>
      <c r="K99" s="330"/>
      <c r="L99" s="330"/>
      <c r="M99" s="330"/>
      <c r="N99" s="330"/>
      <c r="O99" s="330"/>
      <c r="P99" s="330"/>
      <c r="Q99" s="330"/>
      <c r="R99" s="330"/>
      <c r="S99" s="330"/>
      <c r="T99" s="330"/>
      <c r="U99" s="331"/>
      <c r="V99" s="247" t="e">
        <f>VLOOKUP(E99,Лист4!A$2:G$499,7)</f>
        <v>#N/A</v>
      </c>
      <c r="W99" s="247">
        <v>100</v>
      </c>
    </row>
    <row r="100" spans="1:23" ht="15.75">
      <c r="A100" s="312">
        <v>43842.833333333336</v>
      </c>
      <c r="B100" s="332" t="s">
        <v>364</v>
      </c>
      <c r="C100" s="333"/>
      <c r="D100" s="334"/>
      <c r="E100" s="334"/>
      <c r="F100" s="334"/>
      <c r="G100" s="334"/>
      <c r="H100" s="334"/>
      <c r="I100" s="334"/>
      <c r="J100" s="334"/>
      <c r="K100" s="334"/>
      <c r="L100" s="334"/>
      <c r="M100" s="334"/>
      <c r="N100" s="334"/>
      <c r="O100" s="334"/>
      <c r="P100" s="334"/>
      <c r="Q100" s="334"/>
      <c r="R100" s="334"/>
      <c r="S100" s="334"/>
      <c r="T100" s="334"/>
      <c r="U100" s="335"/>
      <c r="V100" s="247" t="e">
        <f>VLOOKUP(E100,Лист4!A$2:G$499,7)</f>
        <v>#N/A</v>
      </c>
      <c r="W100" s="247" t="e">
        <f>IF(ISNA(V100),VLOOKUP(E100,категория!A$16:C$41,3,),11.12+R100*8.333/VLOOKUP(V100,категория!A$16:C$41,2,))</f>
        <v>#N/A</v>
      </c>
    </row>
    <row r="101" spans="1:23" ht="15.75">
      <c r="A101" s="312">
        <v>43843.333333333336</v>
      </c>
      <c r="B101" s="332" t="s">
        <v>618</v>
      </c>
      <c r="C101" s="333"/>
      <c r="D101" s="334"/>
      <c r="E101" s="334"/>
      <c r="F101" s="334"/>
      <c r="G101" s="334"/>
      <c r="H101" s="334"/>
      <c r="I101" s="334"/>
      <c r="J101" s="334"/>
      <c r="K101" s="334"/>
      <c r="L101" s="334"/>
      <c r="M101" s="334"/>
      <c r="N101" s="334"/>
      <c r="O101" s="334"/>
      <c r="P101" s="334"/>
      <c r="Q101" s="334"/>
      <c r="R101" s="334"/>
      <c r="S101" s="334"/>
      <c r="T101" s="334"/>
      <c r="U101" s="335"/>
      <c r="V101" s="247" t="e">
        <f>VLOOKUP(E101,Лист4!A$2:G$499,7)</f>
        <v>#N/A</v>
      </c>
      <c r="W101" s="247" t="e">
        <f>IF(ISNA(V101),VLOOKUP(E101,категория!A$16:C$41,3,),11.12+R101*8.333/VLOOKUP(V101,категория!A$16:C$41,2,))</f>
        <v>#N/A</v>
      </c>
    </row>
    <row r="102" spans="1:23" ht="15.75">
      <c r="A102" s="301">
        <v>43843.333333333336</v>
      </c>
      <c r="B102" s="301">
        <v>43843.659722222219</v>
      </c>
      <c r="C102" s="301"/>
      <c r="D102" s="311">
        <v>0.5</v>
      </c>
      <c r="E102" s="329" t="s">
        <v>283</v>
      </c>
      <c r="F102" s="330"/>
      <c r="G102" s="330"/>
      <c r="H102" s="330"/>
      <c r="I102" s="330"/>
      <c r="J102" s="330"/>
      <c r="K102" s="330"/>
      <c r="L102" s="330"/>
      <c r="M102" s="330"/>
      <c r="N102" s="330"/>
      <c r="O102" s="330"/>
      <c r="P102" s="330"/>
      <c r="Q102" s="330"/>
      <c r="R102" s="330"/>
      <c r="S102" s="330"/>
      <c r="T102" s="330"/>
      <c r="U102" s="331"/>
      <c r="V102" s="247" t="e">
        <f>VLOOKUP(E102,Лист4!A$2:G$499,7)</f>
        <v>#N/A</v>
      </c>
      <c r="W102" s="247">
        <v>100</v>
      </c>
    </row>
    <row r="103" spans="1:23" ht="15.75">
      <c r="A103" s="301">
        <v>43843.659722222219</v>
      </c>
      <c r="B103" s="301">
        <v>43843.732638888891</v>
      </c>
      <c r="C103" s="301"/>
      <c r="D103" s="311">
        <v>8.3333333333333329E-2</v>
      </c>
      <c r="E103" s="329" t="s">
        <v>12</v>
      </c>
      <c r="F103" s="330"/>
      <c r="G103" s="330"/>
      <c r="H103" s="330"/>
      <c r="I103" s="330"/>
      <c r="J103" s="330"/>
      <c r="K103" s="330"/>
      <c r="L103" s="330"/>
      <c r="M103" s="330"/>
      <c r="N103" s="330"/>
      <c r="O103" s="330"/>
      <c r="P103" s="330"/>
      <c r="Q103" s="330"/>
      <c r="R103" s="330"/>
      <c r="S103" s="330"/>
      <c r="T103" s="330"/>
      <c r="U103" s="331"/>
      <c r="V103" s="247" t="e">
        <f>VLOOKUP(E103,Лист4!A$2:G$499,7)</f>
        <v>#N/A</v>
      </c>
      <c r="W103" s="247"/>
    </row>
    <row r="104" spans="1:23" ht="15.75">
      <c r="A104" s="301">
        <v>43843.732638888891</v>
      </c>
      <c r="B104" s="301">
        <v>43843.833333333336</v>
      </c>
      <c r="C104" s="301"/>
      <c r="D104" s="311">
        <v>0.5</v>
      </c>
      <c r="E104" s="329" t="s">
        <v>10</v>
      </c>
      <c r="F104" s="330"/>
      <c r="G104" s="330"/>
      <c r="H104" s="330"/>
      <c r="I104" s="330"/>
      <c r="J104" s="330"/>
      <c r="K104" s="330"/>
      <c r="L104" s="330"/>
      <c r="M104" s="330"/>
      <c r="N104" s="330"/>
      <c r="O104" s="330"/>
      <c r="P104" s="330"/>
      <c r="Q104" s="330"/>
      <c r="R104" s="330"/>
      <c r="S104" s="330"/>
      <c r="T104" s="330"/>
      <c r="U104" s="331"/>
      <c r="V104" s="247" t="e">
        <f>VLOOKUP(E104,Лист4!A$2:G$499,7)</f>
        <v>#N/A</v>
      </c>
      <c r="W104" s="247"/>
    </row>
    <row r="105" spans="1:23" ht="15.75">
      <c r="A105" s="312">
        <v>43843.833333333336</v>
      </c>
      <c r="B105" s="332" t="s">
        <v>619</v>
      </c>
      <c r="C105" s="333"/>
      <c r="D105" s="334"/>
      <c r="E105" s="334"/>
      <c r="F105" s="334"/>
      <c r="G105" s="334"/>
      <c r="H105" s="334"/>
      <c r="I105" s="334"/>
      <c r="J105" s="334"/>
      <c r="K105" s="334"/>
      <c r="L105" s="334"/>
      <c r="M105" s="334"/>
      <c r="N105" s="334"/>
      <c r="O105" s="334"/>
      <c r="P105" s="334"/>
      <c r="Q105" s="334"/>
      <c r="R105" s="334"/>
      <c r="S105" s="334"/>
      <c r="T105" s="334"/>
      <c r="U105" s="335"/>
      <c r="V105" s="247" t="e">
        <f>VLOOKUP(E105,Лист4!A$2:G$499,7)</f>
        <v>#N/A</v>
      </c>
      <c r="W105" s="247" t="e">
        <f>IF(ISNA(V105),VLOOKUP(E105,категория!A$16:C$41,3,),11.12+R105*8.333/VLOOKUP(V105,категория!A$16:C$41,2,))</f>
        <v>#N/A</v>
      </c>
    </row>
    <row r="106" spans="1:23" ht="15.75">
      <c r="A106" s="301">
        <v>43843.833333333336</v>
      </c>
      <c r="B106" s="301">
        <v>43843.854166666664</v>
      </c>
      <c r="C106" s="301">
        <f>B106-A106</f>
        <v>2.0833333328482695E-2</v>
      </c>
      <c r="D106" s="311">
        <v>2.0833333333333332E-2</v>
      </c>
      <c r="E106" s="329" t="s">
        <v>22</v>
      </c>
      <c r="F106" s="330"/>
      <c r="G106" s="330"/>
      <c r="H106" s="330"/>
      <c r="I106" s="330"/>
      <c r="J106" s="330"/>
      <c r="K106" s="330"/>
      <c r="L106" s="330"/>
      <c r="M106" s="330"/>
      <c r="N106" s="330"/>
      <c r="O106" s="330"/>
      <c r="P106" s="330"/>
      <c r="Q106" s="330"/>
      <c r="R106" s="330"/>
      <c r="S106" s="330"/>
      <c r="T106" s="330"/>
      <c r="U106" s="331"/>
      <c r="V106" s="247" t="e">
        <f>VLOOKUP(E106,Лист4!A$2:G$499,7)</f>
        <v>#N/A</v>
      </c>
      <c r="W106" s="247">
        <f>IF(ISNA(V106),VLOOKUP(E106,категория!A$16:C$41,3,),11.12+R106*8.333/VLOOKUP(V106,категория!A$16:C$41,2,))</f>
        <v>4.17</v>
      </c>
    </row>
    <row r="107" spans="1:23" ht="15.75">
      <c r="A107" s="301">
        <v>43843.854166666664</v>
      </c>
      <c r="B107" s="301">
        <v>43843.895833333336</v>
      </c>
      <c r="C107" s="301">
        <f t="shared" ref="C107:C116" si="8">B107-A107</f>
        <v>4.1666666671517305E-2</v>
      </c>
      <c r="D107" s="311">
        <v>0.5</v>
      </c>
      <c r="E107" s="329" t="s">
        <v>10</v>
      </c>
      <c r="F107" s="330"/>
      <c r="G107" s="330"/>
      <c r="H107" s="330"/>
      <c r="I107" s="330"/>
      <c r="J107" s="330"/>
      <c r="K107" s="330"/>
      <c r="L107" s="330"/>
      <c r="M107" s="330"/>
      <c r="N107" s="330"/>
      <c r="O107" s="330"/>
      <c r="P107" s="330"/>
      <c r="Q107" s="330"/>
      <c r="R107" s="330"/>
      <c r="S107" s="330"/>
      <c r="T107" s="330"/>
      <c r="U107" s="331"/>
      <c r="V107" s="247" t="e">
        <f>VLOOKUP(E107,Лист4!A$2:G$499,7)</f>
        <v>#N/A</v>
      </c>
      <c r="W107" s="247">
        <f>IF(ISNA(V107),VLOOKUP(E107,категория!A$16:C$41,3,),11.12+R107*8.333/VLOOKUP(V107,категория!A$16:C$41,2,))</f>
        <v>8.3332999999999995</v>
      </c>
    </row>
    <row r="108" spans="1:23" ht="36">
      <c r="A108" s="301">
        <v>43843.895833333336</v>
      </c>
      <c r="B108" s="301">
        <v>43844</v>
      </c>
      <c r="C108" s="301">
        <f t="shared" si="8"/>
        <v>0.10416666666424135</v>
      </c>
      <c r="D108" s="311">
        <v>0.10416666666666667</v>
      </c>
      <c r="E108" s="302">
        <v>53</v>
      </c>
      <c r="F108" s="303" t="s">
        <v>620</v>
      </c>
      <c r="G108" s="303" t="s">
        <v>621</v>
      </c>
      <c r="H108" s="304" t="s">
        <v>226</v>
      </c>
      <c r="I108" s="305">
        <v>43857</v>
      </c>
      <c r="J108" s="306"/>
      <c r="K108" s="302" t="s">
        <v>227</v>
      </c>
      <c r="L108" s="307" t="s">
        <v>232</v>
      </c>
      <c r="M108" s="308"/>
      <c r="N108" s="303" t="s">
        <v>40</v>
      </c>
      <c r="O108" s="302">
        <v>215</v>
      </c>
      <c r="P108" s="302" t="s">
        <v>622</v>
      </c>
      <c r="Q108" s="309" t="s">
        <v>229</v>
      </c>
      <c r="R108" s="310">
        <v>4070</v>
      </c>
      <c r="S108" s="310">
        <v>4395</v>
      </c>
      <c r="T108" s="306" t="s">
        <v>232</v>
      </c>
      <c r="U108" s="310" t="s">
        <v>36</v>
      </c>
      <c r="V108" s="247" t="s">
        <v>60</v>
      </c>
      <c r="W108" s="247">
        <f>IF(ISNA(V108),VLOOKUP(E108,категория!A$16:C$41,3,),11.12+R108*8.333/VLOOKUP(V108,категория!A$16:C$41,2,))</f>
        <v>28.077655</v>
      </c>
    </row>
    <row r="109" spans="1:23" ht="15.75">
      <c r="A109" s="301">
        <v>43844</v>
      </c>
      <c r="B109" s="301">
        <v>43844.013888888891</v>
      </c>
      <c r="C109" s="301">
        <f t="shared" si="8"/>
        <v>1.3888888890505768E-2</v>
      </c>
      <c r="D109" s="311">
        <v>2.0833333333333332E-2</v>
      </c>
      <c r="E109" s="329" t="s">
        <v>2</v>
      </c>
      <c r="F109" s="330"/>
      <c r="G109" s="330"/>
      <c r="H109" s="330"/>
      <c r="I109" s="330"/>
      <c r="J109" s="330"/>
      <c r="K109" s="330"/>
      <c r="L109" s="330"/>
      <c r="M109" s="330"/>
      <c r="N109" s="330"/>
      <c r="O109" s="330"/>
      <c r="P109" s="330"/>
      <c r="Q109" s="330"/>
      <c r="R109" s="330"/>
      <c r="S109" s="330"/>
      <c r="T109" s="330"/>
      <c r="U109" s="331"/>
      <c r="V109" s="247" t="e">
        <f>VLOOKUP(E109,Лист4!A$2:G$499,7)</f>
        <v>#N/A</v>
      </c>
      <c r="W109" s="247">
        <f>IF(ISNA(V109),VLOOKUP(E109,категория!A$16:C$41,3,),11.12+R109*8.333/VLOOKUP(V109,категория!A$16:C$41,2,))</f>
        <v>4.17</v>
      </c>
    </row>
    <row r="110" spans="1:23" ht="15.75">
      <c r="A110" s="301">
        <v>43844.013888888891</v>
      </c>
      <c r="B110" s="301">
        <v>43844.034722222219</v>
      </c>
      <c r="C110" s="301">
        <f t="shared" si="8"/>
        <v>2.0833333328482695E-2</v>
      </c>
      <c r="D110" s="311">
        <v>1.7361111111111112E-2</v>
      </c>
      <c r="E110" s="329" t="s">
        <v>3</v>
      </c>
      <c r="F110" s="330"/>
      <c r="G110" s="330"/>
      <c r="H110" s="330"/>
      <c r="I110" s="330"/>
      <c r="J110" s="330"/>
      <c r="K110" s="330"/>
      <c r="L110" s="330"/>
      <c r="M110" s="330"/>
      <c r="N110" s="330"/>
      <c r="O110" s="330"/>
      <c r="P110" s="330"/>
      <c r="Q110" s="330"/>
      <c r="R110" s="330"/>
      <c r="S110" s="330"/>
      <c r="T110" s="330"/>
      <c r="U110" s="331"/>
      <c r="V110" s="247" t="e">
        <f>VLOOKUP(E110,Лист4!A$2:G$499,7)</f>
        <v>#N/A</v>
      </c>
      <c r="W110" s="247">
        <f>IF(ISNA(V110),VLOOKUP(E110,категория!A$16:C$41,3,),11.12+R110*8.333/VLOOKUP(V110,категория!A$16:C$41,2,))</f>
        <v>3.48</v>
      </c>
    </row>
    <row r="111" spans="1:23" ht="15.75">
      <c r="A111" s="301">
        <v>43844.034722222219</v>
      </c>
      <c r="B111" s="301">
        <v>43844.055555555555</v>
      </c>
      <c r="C111" s="301">
        <f t="shared" si="8"/>
        <v>2.0833333335758653E-2</v>
      </c>
      <c r="D111" s="311">
        <v>2.0833333333333332E-2</v>
      </c>
      <c r="E111" s="329" t="s">
        <v>8</v>
      </c>
      <c r="F111" s="330"/>
      <c r="G111" s="330"/>
      <c r="H111" s="330"/>
      <c r="I111" s="330"/>
      <c r="J111" s="330"/>
      <c r="K111" s="330"/>
      <c r="L111" s="330"/>
      <c r="M111" s="330"/>
      <c r="N111" s="330"/>
      <c r="O111" s="330"/>
      <c r="P111" s="330"/>
      <c r="Q111" s="330"/>
      <c r="R111" s="330"/>
      <c r="S111" s="330"/>
      <c r="T111" s="330"/>
      <c r="U111" s="331"/>
      <c r="V111" s="247" t="e">
        <f>VLOOKUP(E111,Лист4!A$2:G$499,7)</f>
        <v>#N/A</v>
      </c>
      <c r="W111" s="247">
        <f>IF(ISNA(V111),VLOOKUP(E111,категория!A$16:C$41,3,),11.12+R111*8.333/VLOOKUP(V111,категория!A$16:C$41,2,))</f>
        <v>4.17</v>
      </c>
    </row>
    <row r="112" spans="1:23" ht="15.75">
      <c r="A112" s="301">
        <v>43844.055555555555</v>
      </c>
      <c r="B112" s="301">
        <v>43844.076388888891</v>
      </c>
      <c r="C112" s="301">
        <f t="shared" si="8"/>
        <v>2.0833333335758653E-2</v>
      </c>
      <c r="D112" s="311">
        <v>2.0833333333333332E-2</v>
      </c>
      <c r="E112" s="329" t="s">
        <v>23</v>
      </c>
      <c r="F112" s="330"/>
      <c r="G112" s="330"/>
      <c r="H112" s="330"/>
      <c r="I112" s="330"/>
      <c r="J112" s="330"/>
      <c r="K112" s="330"/>
      <c r="L112" s="330"/>
      <c r="M112" s="330"/>
      <c r="N112" s="330"/>
      <c r="O112" s="330"/>
      <c r="P112" s="330"/>
      <c r="Q112" s="330"/>
      <c r="R112" s="330"/>
      <c r="S112" s="330"/>
      <c r="T112" s="330"/>
      <c r="U112" s="331"/>
      <c r="V112" s="247" t="e">
        <f>VLOOKUP(E112,Лист4!A$2:G$499,7)</f>
        <v>#N/A</v>
      </c>
      <c r="W112" s="247">
        <f>IF(ISNA(V112),VLOOKUP(E112,категория!A$16:C$41,3,),11.12+R112*8.333/VLOOKUP(V112,категория!A$16:C$41,2,))</f>
        <v>2.78</v>
      </c>
    </row>
    <row r="113" spans="1:23" ht="36">
      <c r="A113" s="301">
        <v>43844.076388888891</v>
      </c>
      <c r="B113" s="301">
        <v>43844.197916666664</v>
      </c>
      <c r="C113" s="301">
        <f t="shared" si="8"/>
        <v>0.12152777777373558</v>
      </c>
      <c r="D113" s="311">
        <v>0.12152777777777778</v>
      </c>
      <c r="E113" s="302">
        <v>53</v>
      </c>
      <c r="F113" s="303" t="s">
        <v>620</v>
      </c>
      <c r="G113" s="303" t="s">
        <v>621</v>
      </c>
      <c r="H113" s="304" t="s">
        <v>273</v>
      </c>
      <c r="I113" s="305">
        <v>43857</v>
      </c>
      <c r="J113" s="306"/>
      <c r="K113" s="302" t="s">
        <v>256</v>
      </c>
      <c r="L113" s="307" t="s">
        <v>232</v>
      </c>
      <c r="M113" s="308"/>
      <c r="N113" s="303" t="s">
        <v>35</v>
      </c>
      <c r="O113" s="302"/>
      <c r="P113" s="302" t="s">
        <v>622</v>
      </c>
      <c r="Q113" s="309" t="s">
        <v>241</v>
      </c>
      <c r="R113" s="310">
        <v>4140</v>
      </c>
      <c r="S113" s="310">
        <v>4050</v>
      </c>
      <c r="T113" s="306" t="s">
        <v>232</v>
      </c>
      <c r="U113" s="310" t="s">
        <v>36</v>
      </c>
      <c r="V113" s="247" t="s">
        <v>60</v>
      </c>
      <c r="W113" s="247">
        <f>IF(ISNA(V113),VLOOKUP(E113,категория!A$16:C$41,3,),11.12/4+R113*8.333/VLOOKUP(V113,категория!A$16:C$41,2,))</f>
        <v>20.029310000000002</v>
      </c>
    </row>
    <row r="114" spans="1:23" ht="15.75">
      <c r="A114" s="301">
        <v>43844.197916666664</v>
      </c>
      <c r="B114" s="301">
        <v>43844.208333333336</v>
      </c>
      <c r="C114" s="301">
        <f t="shared" si="8"/>
        <v>1.0416666671517305E-2</v>
      </c>
      <c r="D114" s="311">
        <v>2.0833333333333332E-2</v>
      </c>
      <c r="E114" s="329" t="s">
        <v>2</v>
      </c>
      <c r="F114" s="330"/>
      <c r="G114" s="330"/>
      <c r="H114" s="330"/>
      <c r="I114" s="330"/>
      <c r="J114" s="330"/>
      <c r="K114" s="330"/>
      <c r="L114" s="330"/>
      <c r="M114" s="330"/>
      <c r="N114" s="330"/>
      <c r="O114" s="330"/>
      <c r="P114" s="330"/>
      <c r="Q114" s="330"/>
      <c r="R114" s="330"/>
      <c r="S114" s="330"/>
      <c r="T114" s="330"/>
      <c r="U114" s="331"/>
      <c r="V114" s="247" t="e">
        <f>VLOOKUP(E114,Лист4!A$2:G$499,7)</f>
        <v>#N/A</v>
      </c>
      <c r="W114" s="247">
        <f>IF(ISNA(V114),VLOOKUP(E114,категория!A$16:C$41,3,),11.12+R114*8.333/VLOOKUP(V114,категория!A$16:C$41,2,))</f>
        <v>4.17</v>
      </c>
    </row>
    <row r="115" spans="1:23" ht="15.75">
      <c r="A115" s="301">
        <v>43844.208333333336</v>
      </c>
      <c r="B115" s="301">
        <v>43844.229166666664</v>
      </c>
      <c r="C115" s="301">
        <f t="shared" si="8"/>
        <v>2.0833333328482695E-2</v>
      </c>
      <c r="D115" s="311">
        <v>1.7361111111111112E-2</v>
      </c>
      <c r="E115" s="329" t="s">
        <v>3</v>
      </c>
      <c r="F115" s="330"/>
      <c r="G115" s="330"/>
      <c r="H115" s="330"/>
      <c r="I115" s="330"/>
      <c r="J115" s="330"/>
      <c r="K115" s="330"/>
      <c r="L115" s="330"/>
      <c r="M115" s="330"/>
      <c r="N115" s="330"/>
      <c r="O115" s="330"/>
      <c r="P115" s="330"/>
      <c r="Q115" s="330"/>
      <c r="R115" s="330"/>
      <c r="S115" s="330"/>
      <c r="T115" s="330"/>
      <c r="U115" s="331"/>
      <c r="V115" s="247" t="e">
        <f>VLOOKUP(E115,Лист4!A$2:G$499,7)</f>
        <v>#N/A</v>
      </c>
      <c r="W115" s="247">
        <f>IF(ISNA(V115),VLOOKUP(E115,категория!A$16:C$41,3,),11.12+R115*8.333/VLOOKUP(V115,категория!A$16:C$41,2,))</f>
        <v>3.48</v>
      </c>
    </row>
    <row r="116" spans="1:23" ht="15.75">
      <c r="A116" s="301">
        <v>43844.229166666664</v>
      </c>
      <c r="B116" s="301">
        <v>43844.333333333336</v>
      </c>
      <c r="C116" s="301">
        <f t="shared" si="8"/>
        <v>0.10416666667151731</v>
      </c>
      <c r="D116" s="311">
        <v>4.1666666666666664E-2</v>
      </c>
      <c r="E116" s="329" t="s">
        <v>283</v>
      </c>
      <c r="F116" s="330"/>
      <c r="G116" s="330"/>
      <c r="H116" s="330"/>
      <c r="I116" s="330"/>
      <c r="J116" s="330"/>
      <c r="K116" s="330"/>
      <c r="L116" s="330"/>
      <c r="M116" s="330"/>
      <c r="N116" s="330"/>
      <c r="O116" s="330"/>
      <c r="P116" s="330"/>
      <c r="Q116" s="330"/>
      <c r="R116" s="330"/>
      <c r="S116" s="330"/>
      <c r="T116" s="330"/>
      <c r="U116" s="331"/>
      <c r="V116" s="247" t="e">
        <f>VLOOKUP(E116,Лист4!A$2:G$499,7)</f>
        <v>#N/A</v>
      </c>
      <c r="W116" s="247">
        <f>2.5*8.333</f>
        <v>20.8325</v>
      </c>
    </row>
    <row r="117" spans="1:23" ht="15.75">
      <c r="A117" s="312">
        <v>43844.333333333336</v>
      </c>
      <c r="B117" s="332" t="s">
        <v>623</v>
      </c>
      <c r="C117" s="333"/>
      <c r="D117" s="334"/>
      <c r="E117" s="334"/>
      <c r="F117" s="334"/>
      <c r="G117" s="334"/>
      <c r="H117" s="334"/>
      <c r="I117" s="334"/>
      <c r="J117" s="334"/>
      <c r="K117" s="334"/>
      <c r="L117" s="334"/>
      <c r="M117" s="334"/>
      <c r="N117" s="334"/>
      <c r="O117" s="334"/>
      <c r="P117" s="334"/>
      <c r="Q117" s="334"/>
      <c r="R117" s="334"/>
      <c r="S117" s="334"/>
      <c r="T117" s="334"/>
      <c r="U117" s="335"/>
      <c r="V117" s="247" t="e">
        <f>VLOOKUP(E117,Лист4!A$2:G$499,7)</f>
        <v>#N/A</v>
      </c>
      <c r="W117" s="52">
        <f>SUM(W106:W116)</f>
        <v>103.69276500000001</v>
      </c>
    </row>
    <row r="118" spans="1:23" ht="15" customHeight="1">
      <c r="A118" s="301">
        <v>43844.333333333336</v>
      </c>
      <c r="B118" s="301">
        <v>43844.8125</v>
      </c>
      <c r="C118" s="301"/>
      <c r="D118" s="311">
        <v>4.1666666666666664E-2</v>
      </c>
      <c r="E118" s="329" t="s">
        <v>283</v>
      </c>
      <c r="F118" s="330"/>
      <c r="G118" s="330"/>
      <c r="H118" s="330"/>
      <c r="I118" s="330"/>
      <c r="J118" s="330"/>
      <c r="K118" s="330"/>
      <c r="L118" s="330"/>
      <c r="M118" s="330"/>
      <c r="N118" s="330"/>
      <c r="O118" s="330"/>
      <c r="P118" s="330"/>
      <c r="Q118" s="330"/>
      <c r="R118" s="330"/>
      <c r="S118" s="330"/>
      <c r="T118" s="330"/>
      <c r="U118" s="331"/>
      <c r="V118" s="247" t="e">
        <f>VLOOKUP(E118,Лист4!A$2:G$499,7)</f>
        <v>#N/A</v>
      </c>
      <c r="W118" s="247" t="e">
        <f>IF(ISNA(V118),VLOOKUP(E118,категория!A$16:C$41,3,),11.12+R118*8.333/VLOOKUP(V118,категория!A$16:C$41,2,))</f>
        <v>#N/A</v>
      </c>
    </row>
    <row r="119" spans="1:23" ht="15.75">
      <c r="A119" s="301">
        <v>43844.8125</v>
      </c>
      <c r="B119" s="301">
        <v>43844.833333333336</v>
      </c>
      <c r="C119" s="301"/>
      <c r="D119" s="311">
        <v>2.0833333333333332E-2</v>
      </c>
      <c r="E119" s="329" t="s">
        <v>22</v>
      </c>
      <c r="F119" s="330"/>
      <c r="G119" s="330"/>
      <c r="H119" s="330"/>
      <c r="I119" s="330"/>
      <c r="J119" s="330"/>
      <c r="K119" s="330"/>
      <c r="L119" s="330"/>
      <c r="M119" s="330"/>
      <c r="N119" s="330"/>
      <c r="O119" s="330"/>
      <c r="P119" s="330"/>
      <c r="Q119" s="330"/>
      <c r="R119" s="330"/>
      <c r="S119" s="330"/>
      <c r="T119" s="330"/>
      <c r="U119" s="331"/>
      <c r="V119" s="247" t="e">
        <f>VLOOKUP(E119,Лист4!A$2:G$499,7)</f>
        <v>#N/A</v>
      </c>
      <c r="W119" s="52">
        <v>100</v>
      </c>
    </row>
    <row r="120" spans="1:23" ht="15.75">
      <c r="A120" s="312">
        <v>43844.833333333336</v>
      </c>
      <c r="B120" s="332" t="s">
        <v>624</v>
      </c>
      <c r="C120" s="333"/>
      <c r="D120" s="334"/>
      <c r="E120" s="334"/>
      <c r="F120" s="334"/>
      <c r="G120" s="334"/>
      <c r="H120" s="334"/>
      <c r="I120" s="334"/>
      <c r="J120" s="334"/>
      <c r="K120" s="334"/>
      <c r="L120" s="334"/>
      <c r="M120" s="334"/>
      <c r="N120" s="334"/>
      <c r="O120" s="334"/>
      <c r="P120" s="334"/>
      <c r="Q120" s="334"/>
      <c r="R120" s="334"/>
      <c r="S120" s="334"/>
      <c r="T120" s="334"/>
      <c r="U120" s="335"/>
      <c r="V120" s="247" t="e">
        <f>VLOOKUP(E120,Лист4!A$2:G$499,7)</f>
        <v>#N/A</v>
      </c>
      <c r="W120" s="247" t="e">
        <f>IF(ISNA(V120),VLOOKUP(E120,категория!A$16:C$41,3,),11.12+R120*8.333/VLOOKUP(V120,категория!A$16:C$41,2,))</f>
        <v>#N/A</v>
      </c>
    </row>
    <row r="121" spans="1:23" ht="15.75">
      <c r="A121" s="301">
        <v>43844.833333333336</v>
      </c>
      <c r="B121" s="301">
        <v>43844.854166666664</v>
      </c>
      <c r="C121" s="301">
        <f>B121-A121</f>
        <v>2.0833333328482695E-2</v>
      </c>
      <c r="D121" s="311">
        <v>2.0833333333333332E-2</v>
      </c>
      <c r="E121" s="329" t="s">
        <v>8</v>
      </c>
      <c r="F121" s="330"/>
      <c r="G121" s="330"/>
      <c r="H121" s="330"/>
      <c r="I121" s="330"/>
      <c r="J121" s="330"/>
      <c r="K121" s="330"/>
      <c r="L121" s="330"/>
      <c r="M121" s="330"/>
      <c r="N121" s="330"/>
      <c r="O121" s="330"/>
      <c r="P121" s="330"/>
      <c r="Q121" s="330"/>
      <c r="R121" s="330"/>
      <c r="S121" s="330"/>
      <c r="T121" s="330"/>
      <c r="U121" s="331"/>
      <c r="V121" s="247" t="e">
        <f>VLOOKUP(E121,Лист4!A$2:G$499,7)</f>
        <v>#N/A</v>
      </c>
      <c r="W121" s="247">
        <f>IF(ISNA(V121),VLOOKUP(E121,категория!A$16:C$41,3,),11.12+R121*8.333/VLOOKUP(V121,категория!A$16:C$41,2,))</f>
        <v>4.17</v>
      </c>
    </row>
    <row r="122" spans="1:23" ht="15.75">
      <c r="A122" s="301">
        <v>43844.854166666664</v>
      </c>
      <c r="B122" s="301">
        <v>43844.965277777781</v>
      </c>
      <c r="C122" s="301">
        <f t="shared" ref="C122:C128" si="9">B122-A122</f>
        <v>0.11111111111677019</v>
      </c>
      <c r="D122" s="311">
        <v>0.1111111111111111</v>
      </c>
      <c r="E122" s="329" t="s">
        <v>28</v>
      </c>
      <c r="F122" s="330"/>
      <c r="G122" s="330"/>
      <c r="H122" s="330"/>
      <c r="I122" s="330"/>
      <c r="J122" s="330"/>
      <c r="K122" s="330"/>
      <c r="L122" s="330"/>
      <c r="M122" s="330"/>
      <c r="N122" s="330"/>
      <c r="O122" s="330"/>
      <c r="P122" s="330"/>
      <c r="Q122" s="330"/>
      <c r="R122" s="330"/>
      <c r="S122" s="330"/>
      <c r="T122" s="330"/>
      <c r="U122" s="331"/>
      <c r="V122" s="247" t="e">
        <f>VLOOKUP(E122,Лист4!A$2:G$499,7)</f>
        <v>#N/A</v>
      </c>
      <c r="W122" s="247">
        <f>2.6667*8.333</f>
        <v>22.221611100000001</v>
      </c>
    </row>
    <row r="123" spans="1:23" ht="36">
      <c r="A123" s="301">
        <v>43844.965277777781</v>
      </c>
      <c r="B123" s="301">
        <v>43845.194444444445</v>
      </c>
      <c r="C123" s="301">
        <f t="shared" si="9"/>
        <v>0.22916666666424135</v>
      </c>
      <c r="D123" s="311">
        <v>0.22916666666666666</v>
      </c>
      <c r="E123" s="302">
        <v>80</v>
      </c>
      <c r="F123" s="303" t="s">
        <v>620</v>
      </c>
      <c r="G123" s="303" t="s">
        <v>625</v>
      </c>
      <c r="H123" s="304" t="s">
        <v>226</v>
      </c>
      <c r="I123" s="305">
        <v>43857</v>
      </c>
      <c r="J123" s="306"/>
      <c r="K123" s="302" t="s">
        <v>227</v>
      </c>
      <c r="L123" s="307" t="s">
        <v>232</v>
      </c>
      <c r="M123" s="308"/>
      <c r="N123" s="303" t="s">
        <v>35</v>
      </c>
      <c r="O123" s="302">
        <v>230</v>
      </c>
      <c r="P123" s="302" t="s">
        <v>626</v>
      </c>
      <c r="Q123" s="309" t="s">
        <v>229</v>
      </c>
      <c r="R123" s="310">
        <v>10140</v>
      </c>
      <c r="S123" s="310">
        <v>10620</v>
      </c>
      <c r="T123" s="306" t="s">
        <v>232</v>
      </c>
      <c r="U123" s="310" t="s">
        <v>36</v>
      </c>
      <c r="V123" s="247" t="s">
        <v>60</v>
      </c>
      <c r="W123" s="247">
        <f>IF(ISNA(V123),VLOOKUP(E123,категория!A$16:C$41,3,),11.12+R123*8.333/VLOOKUP(V123,категория!A$16:C$41,2,))</f>
        <v>53.368309999999994</v>
      </c>
    </row>
    <row r="124" spans="1:23" ht="15.75">
      <c r="A124" s="301">
        <v>43845.194444444445</v>
      </c>
      <c r="B124" s="301">
        <v>43845.208333333336</v>
      </c>
      <c r="C124" s="301">
        <f t="shared" si="9"/>
        <v>1.3888888890505768E-2</v>
      </c>
      <c r="D124" s="311">
        <v>2.0833333333333332E-2</v>
      </c>
      <c r="E124" s="329" t="s">
        <v>2</v>
      </c>
      <c r="F124" s="330"/>
      <c r="G124" s="330"/>
      <c r="H124" s="330"/>
      <c r="I124" s="330"/>
      <c r="J124" s="330"/>
      <c r="K124" s="330"/>
      <c r="L124" s="330"/>
      <c r="M124" s="330"/>
      <c r="N124" s="330"/>
      <c r="O124" s="330"/>
      <c r="P124" s="330"/>
      <c r="Q124" s="330"/>
      <c r="R124" s="330"/>
      <c r="S124" s="330"/>
      <c r="T124" s="330"/>
      <c r="U124" s="331"/>
      <c r="V124" s="247" t="e">
        <f>VLOOKUP(E124,Лист4!A$2:G$499,7)</f>
        <v>#N/A</v>
      </c>
      <c r="W124" s="247">
        <f>IF(ISNA(V124),VLOOKUP(E124,категория!A$16:C$41,3,),11.12+R124*8.333/VLOOKUP(V124,категория!A$16:C$41,2,))</f>
        <v>4.17</v>
      </c>
    </row>
    <row r="125" spans="1:23" ht="15.75">
      <c r="A125" s="301">
        <v>43845.208333333336</v>
      </c>
      <c r="B125" s="301">
        <v>43845.229166666664</v>
      </c>
      <c r="C125" s="301">
        <f t="shared" si="9"/>
        <v>2.0833333328482695E-2</v>
      </c>
      <c r="D125" s="311">
        <v>1.7361111111111112E-2</v>
      </c>
      <c r="E125" s="329" t="s">
        <v>3</v>
      </c>
      <c r="F125" s="330"/>
      <c r="G125" s="330"/>
      <c r="H125" s="330"/>
      <c r="I125" s="330"/>
      <c r="J125" s="330"/>
      <c r="K125" s="330"/>
      <c r="L125" s="330"/>
      <c r="M125" s="330"/>
      <c r="N125" s="330"/>
      <c r="O125" s="330"/>
      <c r="P125" s="330"/>
      <c r="Q125" s="330"/>
      <c r="R125" s="330"/>
      <c r="S125" s="330"/>
      <c r="T125" s="330"/>
      <c r="U125" s="331"/>
      <c r="V125" s="247" t="e">
        <f>VLOOKUP(E125,Лист4!A$2:G$499,7)</f>
        <v>#N/A</v>
      </c>
      <c r="W125" s="247">
        <f>IF(ISNA(V125),VLOOKUP(E125,категория!A$16:C$41,3,),11.12+R125*8.333/VLOOKUP(V125,категория!A$16:C$41,2,))</f>
        <v>3.48</v>
      </c>
    </row>
    <row r="126" spans="1:23" ht="15.75">
      <c r="A126" s="301">
        <v>43845.229166666664</v>
      </c>
      <c r="B126" s="301">
        <v>43845.25</v>
      </c>
      <c r="C126" s="301">
        <f t="shared" si="9"/>
        <v>2.0833333335758653E-2</v>
      </c>
      <c r="D126" s="311">
        <v>2.0833333333333332E-2</v>
      </c>
      <c r="E126" s="329" t="s">
        <v>8</v>
      </c>
      <c r="F126" s="330"/>
      <c r="G126" s="330"/>
      <c r="H126" s="330"/>
      <c r="I126" s="330"/>
      <c r="J126" s="330"/>
      <c r="K126" s="330"/>
      <c r="L126" s="330"/>
      <c r="M126" s="330"/>
      <c r="N126" s="330"/>
      <c r="O126" s="330"/>
      <c r="P126" s="330"/>
      <c r="Q126" s="330"/>
      <c r="R126" s="330"/>
      <c r="S126" s="330"/>
      <c r="T126" s="330"/>
      <c r="U126" s="331"/>
      <c r="V126" s="247" t="e">
        <f>VLOOKUP(E126,Лист4!A$2:G$499,7)</f>
        <v>#N/A</v>
      </c>
      <c r="W126" s="247">
        <f>IF(ISNA(V126),VLOOKUP(E126,категория!A$16:C$41,3,),11.12+R126*8.333/VLOOKUP(V126,категория!A$16:C$41,2,))</f>
        <v>4.17</v>
      </c>
    </row>
    <row r="127" spans="1:23" ht="48">
      <c r="A127" s="301">
        <v>43845.25</v>
      </c>
      <c r="B127" s="301">
        <v>43845.322916666664</v>
      </c>
      <c r="C127" s="301">
        <f t="shared" si="9"/>
        <v>7.2916666664241347E-2</v>
      </c>
      <c r="D127" s="311">
        <v>7.2916666666666671E-2</v>
      </c>
      <c r="E127" s="302">
        <v>80</v>
      </c>
      <c r="F127" s="303" t="s">
        <v>620</v>
      </c>
      <c r="G127" s="303" t="s">
        <v>625</v>
      </c>
      <c r="H127" s="304" t="s">
        <v>292</v>
      </c>
      <c r="I127" s="305">
        <v>43857</v>
      </c>
      <c r="J127" s="306"/>
      <c r="K127" s="302" t="s">
        <v>256</v>
      </c>
      <c r="L127" s="307" t="s">
        <v>232</v>
      </c>
      <c r="M127" s="308"/>
      <c r="N127" s="303" t="s">
        <v>35</v>
      </c>
      <c r="O127" s="302"/>
      <c r="P127" s="302" t="s">
        <v>626</v>
      </c>
      <c r="Q127" s="309" t="s">
        <v>241</v>
      </c>
      <c r="R127" s="310">
        <v>5420</v>
      </c>
      <c r="S127" s="310">
        <v>6226</v>
      </c>
      <c r="T127" s="306" t="s">
        <v>232</v>
      </c>
      <c r="U127" s="310" t="s">
        <v>36</v>
      </c>
      <c r="V127" s="247" t="s">
        <v>60</v>
      </c>
      <c r="W127" s="247">
        <f>IF(ISNA(V127),VLOOKUP(E127,категория!A$16:C$41,3,),11.12/4+R127*8.333/VLOOKUP(V127,категория!A$16:C$41,2,))</f>
        <v>25.36243</v>
      </c>
    </row>
    <row r="128" spans="1:23" ht="15.75">
      <c r="A128" s="301">
        <v>43845.322916666664</v>
      </c>
      <c r="B128" s="301">
        <v>43845.333333333336</v>
      </c>
      <c r="C128" s="301">
        <f t="shared" si="9"/>
        <v>1.0416666671517305E-2</v>
      </c>
      <c r="D128" s="311">
        <v>1.0416666666666666E-2</v>
      </c>
      <c r="E128" s="329" t="s">
        <v>2</v>
      </c>
      <c r="F128" s="330"/>
      <c r="G128" s="330"/>
      <c r="H128" s="330"/>
      <c r="I128" s="330"/>
      <c r="J128" s="330"/>
      <c r="K128" s="330"/>
      <c r="L128" s="330"/>
      <c r="M128" s="330"/>
      <c r="N128" s="330"/>
      <c r="O128" s="330"/>
      <c r="P128" s="330"/>
      <c r="Q128" s="330"/>
      <c r="R128" s="330"/>
      <c r="S128" s="330"/>
      <c r="T128" s="330"/>
      <c r="U128" s="331"/>
      <c r="V128" s="247" t="e">
        <f>VLOOKUP(E128,Лист4!A$2:G$499,7)</f>
        <v>#N/A</v>
      </c>
      <c r="W128" s="247">
        <f>IF(ISNA(V128),VLOOKUP(E128,категория!A$16:C$41,3,),11.12+R128*8.333/VLOOKUP(V128,категория!A$16:C$41,2,))</f>
        <v>4.17</v>
      </c>
    </row>
    <row r="129" spans="1:23" ht="15.75">
      <c r="A129" s="312">
        <v>43845.333333333336</v>
      </c>
      <c r="B129" s="332" t="s">
        <v>627</v>
      </c>
      <c r="C129" s="333"/>
      <c r="D129" s="334"/>
      <c r="E129" s="334"/>
      <c r="F129" s="334"/>
      <c r="G129" s="334"/>
      <c r="H129" s="334"/>
      <c r="I129" s="334"/>
      <c r="J129" s="334"/>
      <c r="K129" s="334"/>
      <c r="L129" s="334"/>
      <c r="M129" s="334"/>
      <c r="N129" s="334"/>
      <c r="O129" s="334"/>
      <c r="P129" s="334"/>
      <c r="Q129" s="334"/>
      <c r="R129" s="334"/>
      <c r="S129" s="334"/>
      <c r="T129" s="334"/>
      <c r="U129" s="335"/>
      <c r="V129" s="247" t="e">
        <f>VLOOKUP(E129,Лист4!A$2:G$499,7)</f>
        <v>#N/A</v>
      </c>
      <c r="W129" s="52">
        <f>SUM(W121:W128)</f>
        <v>121.1123511</v>
      </c>
    </row>
    <row r="130" spans="1:23" ht="15.75">
      <c r="A130" s="301">
        <v>43845.333333333336</v>
      </c>
      <c r="B130" s="301">
        <v>43845.354166666664</v>
      </c>
      <c r="C130" s="301"/>
      <c r="D130" s="311">
        <v>2.0833333333333332E-2</v>
      </c>
      <c r="E130" s="329" t="s">
        <v>22</v>
      </c>
      <c r="F130" s="330"/>
      <c r="G130" s="330"/>
      <c r="H130" s="330"/>
      <c r="I130" s="330"/>
      <c r="J130" s="330"/>
      <c r="K130" s="330"/>
      <c r="L130" s="330"/>
      <c r="M130" s="330"/>
      <c r="N130" s="330"/>
      <c r="O130" s="330"/>
      <c r="P130" s="330"/>
      <c r="Q130" s="330"/>
      <c r="R130" s="330"/>
      <c r="S130" s="330"/>
      <c r="T130" s="330"/>
      <c r="U130" s="331"/>
      <c r="V130" s="247" t="e">
        <f>VLOOKUP(E130,Лист4!A$2:G$499,7)</f>
        <v>#N/A</v>
      </c>
      <c r="W130" s="247">
        <f>IF(ISNA(V130),VLOOKUP(E130,категория!A$16:C$41,3,),11.12+R130*8.333/VLOOKUP(V130,категория!A$16:C$41,2,))</f>
        <v>4.17</v>
      </c>
    </row>
    <row r="131" spans="1:23" ht="48">
      <c r="A131" s="301">
        <v>43845.354166666664</v>
      </c>
      <c r="B131" s="301">
        <v>43845.399305555555</v>
      </c>
      <c r="C131" s="301"/>
      <c r="D131" s="311">
        <v>4.5138888888888888E-2</v>
      </c>
      <c r="E131" s="302">
        <v>80</v>
      </c>
      <c r="F131" s="303" t="s">
        <v>620</v>
      </c>
      <c r="G131" s="303" t="s">
        <v>625</v>
      </c>
      <c r="H131" s="304" t="s">
        <v>293</v>
      </c>
      <c r="I131" s="305">
        <v>43857</v>
      </c>
      <c r="J131" s="306"/>
      <c r="K131" s="302" t="s">
        <v>256</v>
      </c>
      <c r="L131" s="307" t="s">
        <v>232</v>
      </c>
      <c r="M131" s="308"/>
      <c r="N131" s="303" t="s">
        <v>35</v>
      </c>
      <c r="O131" s="302"/>
      <c r="P131" s="302" t="s">
        <v>626</v>
      </c>
      <c r="Q131" s="309" t="s">
        <v>241</v>
      </c>
      <c r="R131" s="310">
        <v>4855</v>
      </c>
      <c r="S131" s="310">
        <v>3854</v>
      </c>
      <c r="T131" s="306" t="s">
        <v>232</v>
      </c>
      <c r="U131" s="310" t="s">
        <v>37</v>
      </c>
      <c r="V131" s="247" t="str">
        <f>VLOOKUP(E131,Лист4!A$2:G$499,7)</f>
        <v xml:space="preserve">лак </v>
      </c>
      <c r="W131" s="247">
        <f>IF(ISNA(V131),VLOOKUP(E131,категория!A$16:C$41,3,),R131*8.333/VLOOKUP(V131,категория!A$16:C$41,2,))</f>
        <v>20.228357500000001</v>
      </c>
    </row>
    <row r="132" spans="1:23" ht="15.75">
      <c r="A132" s="301">
        <v>43845.399305555555</v>
      </c>
      <c r="B132" s="301">
        <v>43845.409722222219</v>
      </c>
      <c r="C132" s="301"/>
      <c r="D132" s="311">
        <v>2.0833333333333332E-2</v>
      </c>
      <c r="E132" s="329" t="s">
        <v>2</v>
      </c>
      <c r="F132" s="330"/>
      <c r="G132" s="330"/>
      <c r="H132" s="330"/>
      <c r="I132" s="330"/>
      <c r="J132" s="330"/>
      <c r="K132" s="330"/>
      <c r="L132" s="330"/>
      <c r="M132" s="330"/>
      <c r="N132" s="330"/>
      <c r="O132" s="330"/>
      <c r="P132" s="330"/>
      <c r="Q132" s="330"/>
      <c r="R132" s="330"/>
      <c r="S132" s="330"/>
      <c r="T132" s="330"/>
      <c r="U132" s="331"/>
      <c r="V132" s="247" t="e">
        <f>VLOOKUP(E132,Лист4!A$2:G$499,7)</f>
        <v>#N/A</v>
      </c>
      <c r="W132" s="247">
        <f>IF(ISNA(V132),VLOOKUP(E132,категория!A$16:C$41,3,),11.12+R132*8.333/VLOOKUP(V132,категория!A$16:C$41,2,))</f>
        <v>4.17</v>
      </c>
    </row>
    <row r="133" spans="1:23" ht="15.75">
      <c r="A133" s="301">
        <v>43845.409722222219</v>
      </c>
      <c r="B133" s="301">
        <v>43845.479166666664</v>
      </c>
      <c r="C133" s="301"/>
      <c r="D133" s="311">
        <v>6.9444444444444434E-2</v>
      </c>
      <c r="E133" s="329" t="s">
        <v>18</v>
      </c>
      <c r="F133" s="330"/>
      <c r="G133" s="330"/>
      <c r="H133" s="330"/>
      <c r="I133" s="330"/>
      <c r="J133" s="330"/>
      <c r="K133" s="330"/>
      <c r="L133" s="330"/>
      <c r="M133" s="330"/>
      <c r="N133" s="330"/>
      <c r="O133" s="330"/>
      <c r="P133" s="330"/>
      <c r="Q133" s="330"/>
      <c r="R133" s="330"/>
      <c r="S133" s="330"/>
      <c r="T133" s="330"/>
      <c r="U133" s="331"/>
      <c r="V133" s="247" t="e">
        <f>VLOOKUP(E133,Лист4!A$2:G$499,7)</f>
        <v>#N/A</v>
      </c>
      <c r="W133" s="247">
        <f>IF(ISNA(V133),VLOOKUP(E133,категория!A$16:C$41,3,),11.12+R133*8.333/VLOOKUP(V133,категория!A$16:C$41,2,))</f>
        <v>13.9</v>
      </c>
    </row>
    <row r="134" spans="1:23" ht="15.75">
      <c r="A134" s="312">
        <v>43845.833333333336</v>
      </c>
      <c r="B134" s="332" t="s">
        <v>628</v>
      </c>
      <c r="C134" s="333"/>
      <c r="D134" s="334"/>
      <c r="E134" s="334"/>
      <c r="F134" s="334"/>
      <c r="G134" s="334"/>
      <c r="H134" s="334"/>
      <c r="I134" s="334"/>
      <c r="J134" s="334"/>
      <c r="K134" s="334"/>
      <c r="L134" s="334"/>
      <c r="M134" s="334"/>
      <c r="N134" s="334"/>
      <c r="O134" s="334"/>
      <c r="P134" s="334"/>
      <c r="Q134" s="334"/>
      <c r="R134" s="334"/>
      <c r="S134" s="334"/>
      <c r="T134" s="334"/>
      <c r="U134" s="335"/>
      <c r="V134" s="247" t="e">
        <f>VLOOKUP(E134,Лист4!A$2:G$499,7)</f>
        <v>#N/A</v>
      </c>
      <c r="W134" s="52">
        <f>SUM(W130:W133)</f>
        <v>42.468357500000003</v>
      </c>
    </row>
    <row r="135" spans="1:23" ht="15.75">
      <c r="A135" s="301">
        <v>43845.833333333336</v>
      </c>
      <c r="B135" s="301">
        <v>43845.854166666664</v>
      </c>
      <c r="C135" s="301">
        <f>B135-A135</f>
        <v>2.0833333328482695E-2</v>
      </c>
      <c r="D135" s="311">
        <v>2.0833333333333332E-2</v>
      </c>
      <c r="E135" s="329" t="s">
        <v>22</v>
      </c>
      <c r="F135" s="330"/>
      <c r="G135" s="330"/>
      <c r="H135" s="330"/>
      <c r="I135" s="330"/>
      <c r="J135" s="330"/>
      <c r="K135" s="330"/>
      <c r="L135" s="330"/>
      <c r="M135" s="330"/>
      <c r="N135" s="330"/>
      <c r="O135" s="330"/>
      <c r="P135" s="330"/>
      <c r="Q135" s="330"/>
      <c r="R135" s="330"/>
      <c r="S135" s="330"/>
      <c r="T135" s="330"/>
      <c r="U135" s="331"/>
      <c r="V135" s="247" t="e">
        <f>VLOOKUP(E135,Лист4!A$2:G$499,7)</f>
        <v>#N/A</v>
      </c>
      <c r="W135" s="247">
        <f>IF(ISNA(V135),VLOOKUP(E135,категория!A$16:C$41,3,),11.12+R135*8.333/VLOOKUP(V135,категория!A$16:C$41,2,))</f>
        <v>4.17</v>
      </c>
    </row>
    <row r="136" spans="1:23" ht="15.75">
      <c r="A136" s="301">
        <v>43845.854166666664</v>
      </c>
      <c r="B136" s="301">
        <v>43845.916666666664</v>
      </c>
      <c r="C136" s="301">
        <f t="shared" ref="C136:C145" si="10">B136-A136</f>
        <v>6.25E-2</v>
      </c>
      <c r="D136" s="311">
        <v>8.3333333333333329E-2</v>
      </c>
      <c r="E136" s="329" t="s">
        <v>12</v>
      </c>
      <c r="F136" s="330"/>
      <c r="G136" s="330"/>
      <c r="H136" s="330"/>
      <c r="I136" s="330"/>
      <c r="J136" s="330"/>
      <c r="K136" s="330"/>
      <c r="L136" s="330"/>
      <c r="M136" s="330"/>
      <c r="N136" s="330"/>
      <c r="O136" s="330"/>
      <c r="P136" s="330"/>
      <c r="Q136" s="330"/>
      <c r="R136" s="330"/>
      <c r="S136" s="330"/>
      <c r="T136" s="330"/>
      <c r="U136" s="331"/>
      <c r="V136" s="247" t="e">
        <f>VLOOKUP(E136,Лист4!A$2:G$499,7)</f>
        <v>#N/A</v>
      </c>
      <c r="W136" s="247">
        <f>IF(ISNA(V136),VLOOKUP(E136,категория!A$16:C$41,3,),11.12+R136*8.333/VLOOKUP(V136,категория!A$16:C$41,2,))</f>
        <v>16.670000000000002</v>
      </c>
    </row>
    <row r="137" spans="1:23" ht="36">
      <c r="A137" s="301">
        <v>43845.916666666664</v>
      </c>
      <c r="B137" s="301">
        <v>43845.9375</v>
      </c>
      <c r="C137" s="301">
        <f t="shared" si="10"/>
        <v>2.0833333335758653E-2</v>
      </c>
      <c r="D137" s="311">
        <v>2.0833333333333332E-2</v>
      </c>
      <c r="E137" s="302">
        <v>90</v>
      </c>
      <c r="F137" s="303" t="s">
        <v>344</v>
      </c>
      <c r="G137" s="303" t="s">
        <v>629</v>
      </c>
      <c r="H137" s="304" t="s">
        <v>226</v>
      </c>
      <c r="I137" s="305">
        <v>43845</v>
      </c>
      <c r="J137" s="306"/>
      <c r="K137" s="302" t="s">
        <v>256</v>
      </c>
      <c r="L137" s="307"/>
      <c r="M137" s="308"/>
      <c r="N137" s="303" t="s">
        <v>35</v>
      </c>
      <c r="O137" s="302">
        <v>250</v>
      </c>
      <c r="P137" s="302" t="s">
        <v>236</v>
      </c>
      <c r="Q137" s="309" t="s">
        <v>229</v>
      </c>
      <c r="R137" s="310">
        <v>1090</v>
      </c>
      <c r="S137" s="310">
        <v>1270</v>
      </c>
      <c r="T137" s="306" t="s">
        <v>232</v>
      </c>
      <c r="U137" s="310" t="s">
        <v>36</v>
      </c>
      <c r="V137" s="247" t="s">
        <v>60</v>
      </c>
      <c r="W137" s="247">
        <f>IF(ISNA(V137),VLOOKUP(E137,категория!A$16:C$41,3,),11.12/4+R137*8.333/VLOOKUP(V137,категория!A$16:C$41,2,))</f>
        <v>7.3214849999999991</v>
      </c>
    </row>
    <row r="138" spans="1:23" ht="15.75">
      <c r="A138" s="301">
        <v>43845.9375</v>
      </c>
      <c r="B138" s="301">
        <v>43845.993055555555</v>
      </c>
      <c r="C138" s="301">
        <f t="shared" si="10"/>
        <v>5.5555555554747116E-2</v>
      </c>
      <c r="D138" s="311">
        <v>4.1666666666666664E-2</v>
      </c>
      <c r="E138" s="329" t="s">
        <v>28</v>
      </c>
      <c r="F138" s="330"/>
      <c r="G138" s="330"/>
      <c r="H138" s="330"/>
      <c r="I138" s="330"/>
      <c r="J138" s="330"/>
      <c r="K138" s="330"/>
      <c r="L138" s="330"/>
      <c r="M138" s="330"/>
      <c r="N138" s="330"/>
      <c r="O138" s="330"/>
      <c r="P138" s="330"/>
      <c r="Q138" s="330"/>
      <c r="R138" s="330"/>
      <c r="S138" s="330"/>
      <c r="T138" s="330"/>
      <c r="U138" s="331"/>
      <c r="V138" s="247" t="e">
        <f>VLOOKUP(E138,Лист4!A$2:G$499,7)</f>
        <v>#N/A</v>
      </c>
      <c r="W138" s="247">
        <f>8.333*1.333</f>
        <v>11.107889</v>
      </c>
    </row>
    <row r="139" spans="1:23" ht="15.75">
      <c r="A139" s="301">
        <v>43845.993055555555</v>
      </c>
      <c r="B139" s="301">
        <v>43846</v>
      </c>
      <c r="C139" s="301">
        <f t="shared" si="10"/>
        <v>6.9444444452528842E-3</v>
      </c>
      <c r="D139" s="311">
        <v>2.0833333333333332E-2</v>
      </c>
      <c r="E139" s="329" t="s">
        <v>2</v>
      </c>
      <c r="F139" s="330"/>
      <c r="G139" s="330"/>
      <c r="H139" s="330"/>
      <c r="I139" s="330"/>
      <c r="J139" s="330"/>
      <c r="K139" s="330"/>
      <c r="L139" s="330"/>
      <c r="M139" s="330"/>
      <c r="N139" s="330"/>
      <c r="O139" s="330"/>
      <c r="P139" s="330"/>
      <c r="Q139" s="330"/>
      <c r="R139" s="330"/>
      <c r="S139" s="330"/>
      <c r="T139" s="330"/>
      <c r="U139" s="331"/>
      <c r="V139" s="247" t="e">
        <f>VLOOKUP(E139,Лист4!A$2:G$499,7)</f>
        <v>#N/A</v>
      </c>
      <c r="W139" s="247">
        <f>IF(ISNA(V139),VLOOKUP(E139,категория!A$16:C$41,3,),11.12+R139*8.333/VLOOKUP(V139,категория!A$16:C$41,2,))</f>
        <v>4.17</v>
      </c>
    </row>
    <row r="140" spans="1:23" ht="15.75">
      <c r="A140" s="301">
        <v>43846</v>
      </c>
      <c r="B140" s="301">
        <v>43846.020833333336</v>
      </c>
      <c r="C140" s="301">
        <f t="shared" si="10"/>
        <v>2.0833333335758653E-2</v>
      </c>
      <c r="D140" s="311">
        <v>1.7361111111111112E-2</v>
      </c>
      <c r="E140" s="329" t="s">
        <v>3</v>
      </c>
      <c r="F140" s="330"/>
      <c r="G140" s="330"/>
      <c r="H140" s="330"/>
      <c r="I140" s="330"/>
      <c r="J140" s="330"/>
      <c r="K140" s="330"/>
      <c r="L140" s="330"/>
      <c r="M140" s="330"/>
      <c r="N140" s="330"/>
      <c r="O140" s="330"/>
      <c r="P140" s="330"/>
      <c r="Q140" s="330"/>
      <c r="R140" s="330"/>
      <c r="S140" s="330"/>
      <c r="T140" s="330"/>
      <c r="U140" s="331"/>
      <c r="V140" s="247" t="e">
        <f>VLOOKUP(E140,Лист4!A$2:G$499,7)</f>
        <v>#N/A</v>
      </c>
      <c r="W140" s="247">
        <f>IF(ISNA(V140),VLOOKUP(E140,категория!A$16:C$41,3,),11.12+R140*8.333/VLOOKUP(V140,категория!A$16:C$41,2,))</f>
        <v>3.48</v>
      </c>
    </row>
    <row r="141" spans="1:23" ht="15.75">
      <c r="A141" s="301">
        <v>43846.020833333336</v>
      </c>
      <c r="B141" s="301">
        <v>43846.041666666664</v>
      </c>
      <c r="C141" s="301">
        <f t="shared" si="10"/>
        <v>2.0833333328482695E-2</v>
      </c>
      <c r="D141" s="311">
        <v>2.0833333333333332E-2</v>
      </c>
      <c r="E141" s="329" t="s">
        <v>8</v>
      </c>
      <c r="F141" s="330"/>
      <c r="G141" s="330"/>
      <c r="H141" s="330"/>
      <c r="I141" s="330"/>
      <c r="J141" s="330"/>
      <c r="K141" s="330"/>
      <c r="L141" s="330"/>
      <c r="M141" s="330"/>
      <c r="N141" s="330"/>
      <c r="O141" s="330"/>
      <c r="P141" s="330"/>
      <c r="Q141" s="330"/>
      <c r="R141" s="330"/>
      <c r="S141" s="330"/>
      <c r="T141" s="330"/>
      <c r="U141" s="331"/>
      <c r="V141" s="247" t="e">
        <f>VLOOKUP(E141,Лист4!A$2:G$499,7)</f>
        <v>#N/A</v>
      </c>
      <c r="W141" s="247">
        <f>IF(ISNA(V141),VLOOKUP(E141,категория!A$16:C$41,3,),11.12+R141*8.333/VLOOKUP(V141,категория!A$16:C$41,2,))</f>
        <v>4.17</v>
      </c>
    </row>
    <row r="142" spans="1:23" ht="15.75">
      <c r="A142" s="301">
        <v>43846.041666666664</v>
      </c>
      <c r="B142" s="301">
        <v>43846.0625</v>
      </c>
      <c r="C142" s="301">
        <f t="shared" si="10"/>
        <v>2.0833333335758653E-2</v>
      </c>
      <c r="D142" s="311">
        <v>2.0833333333333332E-2</v>
      </c>
      <c r="E142" s="329" t="s">
        <v>23</v>
      </c>
      <c r="F142" s="330"/>
      <c r="G142" s="330"/>
      <c r="H142" s="330"/>
      <c r="I142" s="330"/>
      <c r="J142" s="330"/>
      <c r="K142" s="330"/>
      <c r="L142" s="330"/>
      <c r="M142" s="330"/>
      <c r="N142" s="330"/>
      <c r="O142" s="330"/>
      <c r="P142" s="330"/>
      <c r="Q142" s="330"/>
      <c r="R142" s="330"/>
      <c r="S142" s="330"/>
      <c r="T142" s="330"/>
      <c r="U142" s="331"/>
      <c r="V142" s="247" t="e">
        <f>VLOOKUP(E142,Лист4!A$2:G$499,7)</f>
        <v>#N/A</v>
      </c>
      <c r="W142" s="247">
        <f>IF(ISNA(V142),VLOOKUP(E142,категория!A$16:C$41,3,),11.12+R142*8.333/VLOOKUP(V142,категория!A$16:C$41,2,))</f>
        <v>2.78</v>
      </c>
    </row>
    <row r="143" spans="1:23" ht="60">
      <c r="A143" s="301">
        <v>43846.0625</v>
      </c>
      <c r="B143" s="301">
        <v>43846.194444444445</v>
      </c>
      <c r="C143" s="301">
        <f t="shared" si="10"/>
        <v>0.13194444444525288</v>
      </c>
      <c r="D143" s="311">
        <v>0.13194444444444445</v>
      </c>
      <c r="E143" s="302">
        <v>73</v>
      </c>
      <c r="F143" s="303" t="s">
        <v>630</v>
      </c>
      <c r="G143" s="303" t="s">
        <v>631</v>
      </c>
      <c r="H143" s="304" t="s">
        <v>226</v>
      </c>
      <c r="I143" s="305">
        <v>43857</v>
      </c>
      <c r="J143" s="306"/>
      <c r="K143" s="302" t="s">
        <v>227</v>
      </c>
      <c r="L143" s="307"/>
      <c r="M143" s="308"/>
      <c r="N143" s="303" t="s">
        <v>35</v>
      </c>
      <c r="O143" s="302">
        <v>300</v>
      </c>
      <c r="P143" s="302" t="s">
        <v>236</v>
      </c>
      <c r="Q143" s="309" t="s">
        <v>229</v>
      </c>
      <c r="R143" s="310">
        <v>3170</v>
      </c>
      <c r="S143" s="310">
        <v>3380</v>
      </c>
      <c r="T143" s="306" t="s">
        <v>232</v>
      </c>
      <c r="U143" s="310" t="s">
        <v>36</v>
      </c>
      <c r="V143" s="247" t="str">
        <f>VLOOKUP(E143,Лист4!A$2:G$499,7)</f>
        <v>картон от 270</v>
      </c>
      <c r="W143" s="247">
        <f>IF(ISNA(V143),VLOOKUP(E143,категория!A$16:C$41,3,),11.12+R143*8.333/VLOOKUP(V143,категория!A$16:C$41,2,))</f>
        <v>25.795338888888889</v>
      </c>
    </row>
    <row r="144" spans="1:23" ht="15.75">
      <c r="A144" s="301">
        <v>43846.194444444445</v>
      </c>
      <c r="B144" s="301">
        <v>43846.215277777781</v>
      </c>
      <c r="C144" s="301">
        <f t="shared" si="10"/>
        <v>2.0833333335758653E-2</v>
      </c>
      <c r="D144" s="311">
        <v>2.0833333333333332E-2</v>
      </c>
      <c r="E144" s="329" t="s">
        <v>2</v>
      </c>
      <c r="F144" s="330"/>
      <c r="G144" s="330"/>
      <c r="H144" s="330"/>
      <c r="I144" s="330"/>
      <c r="J144" s="330"/>
      <c r="K144" s="330"/>
      <c r="L144" s="330"/>
      <c r="M144" s="330"/>
      <c r="N144" s="330"/>
      <c r="O144" s="330"/>
      <c r="P144" s="330"/>
      <c r="Q144" s="330"/>
      <c r="R144" s="330"/>
      <c r="S144" s="330"/>
      <c r="T144" s="330"/>
      <c r="U144" s="331"/>
      <c r="V144" s="247" t="e">
        <f>VLOOKUP(E144,Лист4!A$2:G$499,7)</f>
        <v>#N/A</v>
      </c>
      <c r="W144" s="247">
        <f>IF(ISNA(V144),VLOOKUP(E144,категория!A$16:C$41,3,),11.12+R144*8.333/VLOOKUP(V144,категория!A$16:C$41,2,))</f>
        <v>4.17</v>
      </c>
    </row>
    <row r="145" spans="1:23" ht="15.75">
      <c r="A145" s="301">
        <v>43846.215277777781</v>
      </c>
      <c r="B145" s="301">
        <v>43846.333333333336</v>
      </c>
      <c r="C145" s="301">
        <f t="shared" si="10"/>
        <v>0.11805555555474712</v>
      </c>
      <c r="D145" s="311">
        <v>4.1666666666666664E-2</v>
      </c>
      <c r="E145" s="329" t="s">
        <v>283</v>
      </c>
      <c r="F145" s="330"/>
      <c r="G145" s="330"/>
      <c r="H145" s="330"/>
      <c r="I145" s="330"/>
      <c r="J145" s="330"/>
      <c r="K145" s="330"/>
      <c r="L145" s="330"/>
      <c r="M145" s="330"/>
      <c r="N145" s="330"/>
      <c r="O145" s="330"/>
      <c r="P145" s="330"/>
      <c r="Q145" s="330"/>
      <c r="R145" s="330"/>
      <c r="S145" s="330"/>
      <c r="T145" s="330"/>
      <c r="U145" s="331"/>
      <c r="V145" s="247" t="e">
        <f>VLOOKUP(E145,Лист4!A$2:G$499,7)</f>
        <v>#N/A</v>
      </c>
      <c r="W145" s="247">
        <f>2.86*8.333</f>
        <v>23.832380000000001</v>
      </c>
    </row>
    <row r="146" spans="1:23" ht="15.75">
      <c r="A146" s="312">
        <v>43846.333333333336</v>
      </c>
      <c r="B146" s="332" t="s">
        <v>632</v>
      </c>
      <c r="C146" s="333"/>
      <c r="D146" s="334"/>
      <c r="E146" s="334"/>
      <c r="F146" s="334"/>
      <c r="G146" s="334"/>
      <c r="H146" s="334"/>
      <c r="I146" s="334"/>
      <c r="J146" s="334"/>
      <c r="K146" s="334"/>
      <c r="L146" s="334"/>
      <c r="M146" s="334"/>
      <c r="N146" s="334"/>
      <c r="O146" s="334"/>
      <c r="P146" s="334"/>
      <c r="Q146" s="334"/>
      <c r="R146" s="334"/>
      <c r="S146" s="334"/>
      <c r="T146" s="334"/>
      <c r="U146" s="335"/>
      <c r="V146" s="247" t="e">
        <f>VLOOKUP(E146,Лист4!A$2:G$499,7)</f>
        <v>#N/A</v>
      </c>
      <c r="W146" s="52">
        <f>SUM(W135:W145)</f>
        <v>107.66709288888889</v>
      </c>
    </row>
    <row r="147" spans="1:23" ht="15.75">
      <c r="A147" s="301">
        <v>43846.333333333336</v>
      </c>
      <c r="B147" s="301">
        <v>43846.833333333336</v>
      </c>
      <c r="C147" s="301"/>
      <c r="D147" s="311">
        <v>4.1666666666666664E-2</v>
      </c>
      <c r="E147" s="329" t="s">
        <v>283</v>
      </c>
      <c r="F147" s="330"/>
      <c r="G147" s="330"/>
      <c r="H147" s="330"/>
      <c r="I147" s="330"/>
      <c r="J147" s="330"/>
      <c r="K147" s="330"/>
      <c r="L147" s="330"/>
      <c r="M147" s="330"/>
      <c r="N147" s="330"/>
      <c r="O147" s="330"/>
      <c r="P147" s="330"/>
      <c r="Q147" s="330"/>
      <c r="R147" s="330"/>
      <c r="S147" s="330"/>
      <c r="T147" s="330"/>
      <c r="U147" s="331"/>
      <c r="V147" s="247" t="e">
        <f>VLOOKUP(E147,Лист4!A$2:G$499,7)</f>
        <v>#N/A</v>
      </c>
      <c r="W147" s="247">
        <v>100</v>
      </c>
    </row>
    <row r="148" spans="1:23" ht="15.75">
      <c r="A148" s="312">
        <v>43846.833333333336</v>
      </c>
      <c r="B148" s="332" t="s">
        <v>633</v>
      </c>
      <c r="C148" s="333"/>
      <c r="D148" s="334"/>
      <c r="E148" s="334"/>
      <c r="F148" s="334"/>
      <c r="G148" s="334"/>
      <c r="H148" s="334"/>
      <c r="I148" s="334"/>
      <c r="J148" s="334"/>
      <c r="K148" s="334"/>
      <c r="L148" s="334"/>
      <c r="M148" s="334"/>
      <c r="N148" s="334"/>
      <c r="O148" s="334"/>
      <c r="P148" s="334"/>
      <c r="Q148" s="334"/>
      <c r="R148" s="334"/>
      <c r="S148" s="334"/>
      <c r="T148" s="334"/>
      <c r="U148" s="335"/>
      <c r="V148" s="247" t="e">
        <f>VLOOKUP(E148,Лист4!A$2:G$499,7)</f>
        <v>#N/A</v>
      </c>
      <c r="W148" s="247" t="e">
        <f>IF(ISNA(V148),VLOOKUP(E148,категория!A$16:C$41,3,),11.12+R148*8.333/VLOOKUP(V148,категория!A$16:C$41,2,))</f>
        <v>#N/A</v>
      </c>
    </row>
    <row r="149" spans="1:23" ht="15.75">
      <c r="A149" s="301">
        <v>43846.833333333336</v>
      </c>
      <c r="B149" s="301">
        <v>43846.854166666664</v>
      </c>
      <c r="C149" s="301">
        <f>B149-A149</f>
        <v>2.0833333328482695E-2</v>
      </c>
      <c r="D149" s="311">
        <v>2.0833333333333332E-2</v>
      </c>
      <c r="E149" s="329" t="s">
        <v>22</v>
      </c>
      <c r="F149" s="330"/>
      <c r="G149" s="330"/>
      <c r="H149" s="330"/>
      <c r="I149" s="330"/>
      <c r="J149" s="330"/>
      <c r="K149" s="330"/>
      <c r="L149" s="330"/>
      <c r="M149" s="330"/>
      <c r="N149" s="330"/>
      <c r="O149" s="330"/>
      <c r="P149" s="330"/>
      <c r="Q149" s="330"/>
      <c r="R149" s="330"/>
      <c r="S149" s="330"/>
      <c r="T149" s="330"/>
      <c r="U149" s="331"/>
      <c r="V149" s="247" t="e">
        <f>VLOOKUP(E149,Лист4!A$2:G$499,7)</f>
        <v>#N/A</v>
      </c>
      <c r="W149" s="247">
        <f>IF(ISNA(V149),VLOOKUP(E149,категория!A$16:C$41,3,),11.12+R149*8.333/VLOOKUP(V149,категория!A$16:C$41,2,))</f>
        <v>4.17</v>
      </c>
    </row>
    <row r="150" spans="1:23" ht="15.75">
      <c r="A150" s="301">
        <v>43846.854166666664</v>
      </c>
      <c r="B150" s="301">
        <v>43846.895833333336</v>
      </c>
      <c r="C150" s="301">
        <f t="shared" ref="C150:C156" si="11">B150-A150</f>
        <v>4.1666666671517305E-2</v>
      </c>
      <c r="D150" s="311">
        <v>4.1666666666666664E-2</v>
      </c>
      <c r="E150" s="329" t="s">
        <v>28</v>
      </c>
      <c r="F150" s="330"/>
      <c r="G150" s="330"/>
      <c r="H150" s="330"/>
      <c r="I150" s="330"/>
      <c r="J150" s="330"/>
      <c r="K150" s="330"/>
      <c r="L150" s="330"/>
      <c r="M150" s="330"/>
      <c r="N150" s="330"/>
      <c r="O150" s="330"/>
      <c r="P150" s="330"/>
      <c r="Q150" s="330"/>
      <c r="R150" s="330"/>
      <c r="S150" s="330"/>
      <c r="T150" s="330"/>
      <c r="U150" s="331"/>
      <c r="V150" s="247" t="e">
        <f>VLOOKUP(E150,Лист4!A$2:G$499,7)</f>
        <v>#N/A</v>
      </c>
      <c r="W150" s="247">
        <v>8.3330000000000002</v>
      </c>
    </row>
    <row r="151" spans="1:23" ht="15.75">
      <c r="A151" s="301">
        <v>43846.895833333336</v>
      </c>
      <c r="B151" s="301">
        <v>43846.947916666664</v>
      </c>
      <c r="C151" s="301">
        <f t="shared" si="11"/>
        <v>5.2083333328482695E-2</v>
      </c>
      <c r="D151" s="311">
        <v>3.4722222222222224E-2</v>
      </c>
      <c r="E151" s="329" t="s">
        <v>16</v>
      </c>
      <c r="F151" s="330"/>
      <c r="G151" s="330"/>
      <c r="H151" s="330"/>
      <c r="I151" s="330"/>
      <c r="J151" s="330"/>
      <c r="K151" s="330"/>
      <c r="L151" s="330"/>
      <c r="M151" s="330"/>
      <c r="N151" s="330"/>
      <c r="O151" s="330"/>
      <c r="P151" s="330"/>
      <c r="Q151" s="330"/>
      <c r="R151" s="330"/>
      <c r="S151" s="330"/>
      <c r="T151" s="330"/>
      <c r="U151" s="331"/>
      <c r="V151" s="247" t="e">
        <f>VLOOKUP(E151,Лист4!A$2:G$499,7)</f>
        <v>#N/A</v>
      </c>
      <c r="W151" s="247">
        <f>IF(ISNA(V151),VLOOKUP(E151,категория!A$16:C$41,3,),11.12+R151*8.333/VLOOKUP(V151,категория!A$16:C$41,2,))</f>
        <v>6.94</v>
      </c>
    </row>
    <row r="152" spans="1:23" ht="15.75">
      <c r="A152" s="301">
        <v>43846.947916666664</v>
      </c>
      <c r="B152" s="301">
        <v>43846.979166666664</v>
      </c>
      <c r="C152" s="301">
        <f t="shared" si="11"/>
        <v>3.125E-2</v>
      </c>
      <c r="D152" s="311">
        <v>2.0833333333333332E-2</v>
      </c>
      <c r="E152" s="329" t="s">
        <v>8</v>
      </c>
      <c r="F152" s="330"/>
      <c r="G152" s="330"/>
      <c r="H152" s="330"/>
      <c r="I152" s="330"/>
      <c r="J152" s="330"/>
      <c r="K152" s="330"/>
      <c r="L152" s="330"/>
      <c r="M152" s="330"/>
      <c r="N152" s="330"/>
      <c r="O152" s="330"/>
      <c r="P152" s="330"/>
      <c r="Q152" s="330"/>
      <c r="R152" s="330"/>
      <c r="S152" s="330"/>
      <c r="T152" s="330"/>
      <c r="U152" s="331"/>
      <c r="V152" s="247" t="e">
        <f>VLOOKUP(E152,Лист4!A$2:G$499,7)</f>
        <v>#N/A</v>
      </c>
      <c r="W152" s="247">
        <f>IF(ISNA(V152),VLOOKUP(E152,категория!A$16:C$41,3,),11.12+R152*8.333/VLOOKUP(V152,категория!A$16:C$41,2,))</f>
        <v>4.17</v>
      </c>
    </row>
    <row r="153" spans="1:23" ht="48">
      <c r="A153" s="301">
        <v>43846.979166666664</v>
      </c>
      <c r="B153" s="301">
        <v>43847.090277777781</v>
      </c>
      <c r="C153" s="301">
        <f t="shared" si="11"/>
        <v>0.11111111111677019</v>
      </c>
      <c r="D153" s="311">
        <v>0.1111111111111111</v>
      </c>
      <c r="E153" s="302">
        <v>112</v>
      </c>
      <c r="F153" s="303" t="s">
        <v>333</v>
      </c>
      <c r="G153" s="303" t="s">
        <v>634</v>
      </c>
      <c r="H153" s="304" t="s">
        <v>226</v>
      </c>
      <c r="I153" s="305">
        <v>43847</v>
      </c>
      <c r="J153" s="306"/>
      <c r="K153" s="302" t="s">
        <v>227</v>
      </c>
      <c r="L153" s="307"/>
      <c r="M153" s="308"/>
      <c r="N153" s="303" t="s">
        <v>38</v>
      </c>
      <c r="O153" s="302">
        <v>70</v>
      </c>
      <c r="P153" s="302" t="s">
        <v>236</v>
      </c>
      <c r="Q153" s="309" t="s">
        <v>229</v>
      </c>
      <c r="R153" s="310">
        <v>1550</v>
      </c>
      <c r="S153" s="310">
        <v>1700</v>
      </c>
      <c r="T153" s="306"/>
      <c r="U153" s="310" t="s">
        <v>593</v>
      </c>
      <c r="V153" s="247" t="str">
        <f>VLOOKUP(E153,Лист4!A$2:G$499,7)</f>
        <v>мел+офсет</v>
      </c>
      <c r="W153" s="247">
        <f>IF(ISNA(V153),VLOOKUP(E153,категория!A$16:C$41,3,),11.12+R153*8.333/VLOOKUP(V153,категория!A$16:C$41,2,))</f>
        <v>16.286459999999998</v>
      </c>
    </row>
    <row r="154" spans="1:23" ht="15.75">
      <c r="A154" s="301">
        <v>43847.090277777781</v>
      </c>
      <c r="B154" s="301">
        <v>43847.097222222219</v>
      </c>
      <c r="C154" s="301">
        <f t="shared" si="11"/>
        <v>6.9444444379769266E-3</v>
      </c>
      <c r="D154" s="311">
        <v>2.0833333333333332E-2</v>
      </c>
      <c r="E154" s="329" t="s">
        <v>2</v>
      </c>
      <c r="F154" s="330"/>
      <c r="G154" s="330"/>
      <c r="H154" s="330"/>
      <c r="I154" s="330"/>
      <c r="J154" s="330"/>
      <c r="K154" s="330"/>
      <c r="L154" s="330"/>
      <c r="M154" s="330"/>
      <c r="N154" s="330"/>
      <c r="O154" s="330"/>
      <c r="P154" s="330"/>
      <c r="Q154" s="330"/>
      <c r="R154" s="330"/>
      <c r="S154" s="330"/>
      <c r="T154" s="330"/>
      <c r="U154" s="331"/>
      <c r="V154" s="247" t="e">
        <f>VLOOKUP(E154,Лист4!A$2:G$499,7)</f>
        <v>#N/A</v>
      </c>
      <c r="W154" s="247">
        <f>IF(ISNA(V154),VLOOKUP(E154,категория!A$16:C$41,3,),11.12+R154*8.333/VLOOKUP(V154,категория!A$16:C$41,2,))</f>
        <v>4.17</v>
      </c>
    </row>
    <row r="155" spans="1:23" ht="36">
      <c r="A155" s="301">
        <v>43847.097222222219</v>
      </c>
      <c r="B155" s="301">
        <v>43847.159722222219</v>
      </c>
      <c r="C155" s="301">
        <f t="shared" si="11"/>
        <v>6.25E-2</v>
      </c>
      <c r="D155" s="311">
        <v>6.25E-2</v>
      </c>
      <c r="E155" s="302">
        <v>52</v>
      </c>
      <c r="F155" s="303" t="s">
        <v>635</v>
      </c>
      <c r="G155" s="303" t="s">
        <v>636</v>
      </c>
      <c r="H155" s="304" t="s">
        <v>226</v>
      </c>
      <c r="I155" s="305">
        <v>43850</v>
      </c>
      <c r="J155" s="306"/>
      <c r="K155" s="302" t="s">
        <v>227</v>
      </c>
      <c r="L155" s="307"/>
      <c r="M155" s="308"/>
      <c r="N155" s="303" t="s">
        <v>40</v>
      </c>
      <c r="O155" s="302">
        <v>275</v>
      </c>
      <c r="P155" s="302" t="s">
        <v>236</v>
      </c>
      <c r="Q155" s="309" t="s">
        <v>229</v>
      </c>
      <c r="R155" s="310">
        <v>418</v>
      </c>
      <c r="S155" s="310">
        <v>629</v>
      </c>
      <c r="T155" s="306" t="s">
        <v>232</v>
      </c>
      <c r="U155" s="310" t="s">
        <v>593</v>
      </c>
      <c r="V155" s="247" t="str">
        <f>VLOOKUP(E155,Лист4!A$2:G$499,7)</f>
        <v>картон от 270</v>
      </c>
      <c r="W155" s="247">
        <f>IF(ISNA(V155),VLOOKUP(E155,категория!A$16:C$41,3,),11.12+R155*8.333/VLOOKUP(V155,категория!A$16:C$41,2,))</f>
        <v>13.055107777777778</v>
      </c>
    </row>
    <row r="156" spans="1:23" ht="15.75">
      <c r="A156" s="301">
        <v>43847.159722222219</v>
      </c>
      <c r="B156" s="301">
        <v>43847.333333333336</v>
      </c>
      <c r="C156" s="301">
        <f t="shared" si="11"/>
        <v>0.17361111111677019</v>
      </c>
      <c r="D156" s="311">
        <v>4.1666666666666664E-2</v>
      </c>
      <c r="E156" s="329" t="s">
        <v>283</v>
      </c>
      <c r="F156" s="330"/>
      <c r="G156" s="330"/>
      <c r="H156" s="330"/>
      <c r="I156" s="330"/>
      <c r="J156" s="330"/>
      <c r="K156" s="330"/>
      <c r="L156" s="330"/>
      <c r="M156" s="330"/>
      <c r="N156" s="330"/>
      <c r="O156" s="330"/>
      <c r="P156" s="330"/>
      <c r="Q156" s="330"/>
      <c r="R156" s="330"/>
      <c r="S156" s="330"/>
      <c r="T156" s="330"/>
      <c r="U156" s="331"/>
      <c r="V156" s="247" t="e">
        <f>VLOOKUP(E156,Лист4!A$2:G$499,7)</f>
        <v>#N/A</v>
      </c>
      <c r="W156" s="247">
        <f>4.16*8.333</f>
        <v>34.665280000000003</v>
      </c>
    </row>
    <row r="157" spans="1:23" ht="15.75">
      <c r="A157" s="312">
        <v>43847.333333333336</v>
      </c>
      <c r="B157" s="332" t="s">
        <v>637</v>
      </c>
      <c r="C157" s="333"/>
      <c r="D157" s="334"/>
      <c r="E157" s="334"/>
      <c r="F157" s="334"/>
      <c r="G157" s="334"/>
      <c r="H157" s="334"/>
      <c r="I157" s="334"/>
      <c r="J157" s="334"/>
      <c r="K157" s="334"/>
      <c r="L157" s="334"/>
      <c r="M157" s="334"/>
      <c r="N157" s="334"/>
      <c r="O157" s="334"/>
      <c r="P157" s="334"/>
      <c r="Q157" s="334"/>
      <c r="R157" s="334"/>
      <c r="S157" s="334"/>
      <c r="T157" s="334"/>
      <c r="U157" s="335"/>
      <c r="V157" s="247" t="e">
        <f>VLOOKUP(E157,Лист4!A$2:G$499,7)</f>
        <v>#N/A</v>
      </c>
      <c r="W157" s="52">
        <f>SUM(W149:W156)</f>
        <v>91.78984777777778</v>
      </c>
    </row>
    <row r="158" spans="1:23" ht="15.75">
      <c r="A158" s="301">
        <v>43847.333333333336</v>
      </c>
      <c r="B158" s="301">
        <v>43847.354166666664</v>
      </c>
      <c r="C158" s="301">
        <f>B158-A158</f>
        <v>2.0833333328482695E-2</v>
      </c>
      <c r="D158" s="311">
        <v>2.0833333333333332E-2</v>
      </c>
      <c r="E158" s="329" t="s">
        <v>22</v>
      </c>
      <c r="F158" s="330"/>
      <c r="G158" s="330"/>
      <c r="H158" s="330"/>
      <c r="I158" s="330"/>
      <c r="J158" s="330"/>
      <c r="K158" s="330"/>
      <c r="L158" s="330"/>
      <c r="M158" s="330"/>
      <c r="N158" s="330"/>
      <c r="O158" s="330"/>
      <c r="P158" s="330"/>
      <c r="Q158" s="330"/>
      <c r="R158" s="330"/>
      <c r="S158" s="330"/>
      <c r="T158" s="330"/>
      <c r="U158" s="331"/>
      <c r="V158" s="247" t="e">
        <f>VLOOKUP(E158,Лист4!A$2:G$499,7)</f>
        <v>#N/A</v>
      </c>
      <c r="W158" s="247">
        <f>IF(ISNA(V158),VLOOKUP(E158,категория!A$16:C$41,3,),11.12+R158*8.333/VLOOKUP(V158,категория!A$16:C$41,2,))</f>
        <v>4.17</v>
      </c>
    </row>
    <row r="159" spans="1:23" ht="60">
      <c r="A159" s="301">
        <v>43847.354166666664</v>
      </c>
      <c r="B159" s="301">
        <v>43847.53125</v>
      </c>
      <c r="C159" s="301">
        <f t="shared" ref="C159:C168" si="12">B159-A159</f>
        <v>0.17708333333575865</v>
      </c>
      <c r="D159" s="311">
        <v>0.17708333333333334</v>
      </c>
      <c r="E159" s="302">
        <v>127</v>
      </c>
      <c r="F159" s="303" t="s">
        <v>234</v>
      </c>
      <c r="G159" s="303" t="s">
        <v>638</v>
      </c>
      <c r="H159" s="304" t="s">
        <v>226</v>
      </c>
      <c r="I159" s="305">
        <v>43853</v>
      </c>
      <c r="J159" s="306"/>
      <c r="K159" s="302" t="s">
        <v>227</v>
      </c>
      <c r="L159" s="307"/>
      <c r="M159" s="308"/>
      <c r="N159" s="303" t="s">
        <v>35</v>
      </c>
      <c r="O159" s="302">
        <v>250</v>
      </c>
      <c r="P159" s="302" t="s">
        <v>236</v>
      </c>
      <c r="Q159" s="309" t="s">
        <v>229</v>
      </c>
      <c r="R159" s="310">
        <v>3420</v>
      </c>
      <c r="S159" s="310">
        <v>3435</v>
      </c>
      <c r="T159" s="306" t="s">
        <v>232</v>
      </c>
      <c r="U159" s="310" t="s">
        <v>37</v>
      </c>
      <c r="V159" s="247" t="s">
        <v>60</v>
      </c>
      <c r="W159" s="247">
        <f>IF(ISNA(V159),VLOOKUP(E159,категория!A$16:C$41,3,),11.12+R159*8.333/VLOOKUP(V159,категория!A$16:C$41,2,))</f>
        <v>25.369430000000001</v>
      </c>
    </row>
    <row r="160" spans="1:23" ht="15.75">
      <c r="A160" s="301">
        <v>43847.53125</v>
      </c>
      <c r="B160" s="301">
        <v>43847.552083333336</v>
      </c>
      <c r="C160" s="301">
        <f t="shared" si="12"/>
        <v>2.0833333335758653E-2</v>
      </c>
      <c r="D160" s="311">
        <v>2.0833333333333332E-2</v>
      </c>
      <c r="E160" s="329" t="s">
        <v>2</v>
      </c>
      <c r="F160" s="330"/>
      <c r="G160" s="330"/>
      <c r="H160" s="330"/>
      <c r="I160" s="330"/>
      <c r="J160" s="330"/>
      <c r="K160" s="330"/>
      <c r="L160" s="330"/>
      <c r="M160" s="330"/>
      <c r="N160" s="330"/>
      <c r="O160" s="330"/>
      <c r="P160" s="330"/>
      <c r="Q160" s="330"/>
      <c r="R160" s="330"/>
      <c r="S160" s="330"/>
      <c r="T160" s="330"/>
      <c r="U160" s="331"/>
      <c r="V160" s="247" t="e">
        <f>VLOOKUP(E160,Лист4!A$2:G$499,7)</f>
        <v>#N/A</v>
      </c>
      <c r="W160" s="247">
        <f>IF(ISNA(V160),VLOOKUP(E160,категория!A$16:C$41,3,),11.12+R160*8.333/VLOOKUP(V160,категория!A$16:C$41,2,))</f>
        <v>4.17</v>
      </c>
    </row>
    <row r="161" spans="1:23" ht="15.75">
      <c r="A161" s="301">
        <v>43847.552083333336</v>
      </c>
      <c r="B161" s="301">
        <v>43847.583333333336</v>
      </c>
      <c r="C161" s="301">
        <f t="shared" si="12"/>
        <v>3.125E-2</v>
      </c>
      <c r="D161" s="311">
        <v>1.7361111111111112E-2</v>
      </c>
      <c r="E161" s="329" t="s">
        <v>3</v>
      </c>
      <c r="F161" s="330"/>
      <c r="G161" s="330"/>
      <c r="H161" s="330"/>
      <c r="I161" s="330"/>
      <c r="J161" s="330"/>
      <c r="K161" s="330"/>
      <c r="L161" s="330"/>
      <c r="M161" s="330"/>
      <c r="N161" s="330"/>
      <c r="O161" s="330"/>
      <c r="P161" s="330"/>
      <c r="Q161" s="330"/>
      <c r="R161" s="330"/>
      <c r="S161" s="330"/>
      <c r="T161" s="330"/>
      <c r="U161" s="331"/>
      <c r="V161" s="247" t="e">
        <f>VLOOKUP(E161,Лист4!A$2:G$499,7)</f>
        <v>#N/A</v>
      </c>
      <c r="W161" s="247">
        <f>IF(ISNA(V161),VLOOKUP(E161,категория!A$16:C$41,3,),11.12+R161*8.333/VLOOKUP(V161,категория!A$16:C$41,2,))</f>
        <v>3.48</v>
      </c>
    </row>
    <row r="162" spans="1:23" ht="15.75">
      <c r="A162" s="301">
        <v>43847.583333333336</v>
      </c>
      <c r="B162" s="301">
        <v>43847.604166666664</v>
      </c>
      <c r="C162" s="301">
        <f t="shared" si="12"/>
        <v>2.0833333328482695E-2</v>
      </c>
      <c r="D162" s="311">
        <v>2.0833333333333332E-2</v>
      </c>
      <c r="E162" s="329" t="s">
        <v>23</v>
      </c>
      <c r="F162" s="330"/>
      <c r="G162" s="330"/>
      <c r="H162" s="330"/>
      <c r="I162" s="330"/>
      <c r="J162" s="330"/>
      <c r="K162" s="330"/>
      <c r="L162" s="330"/>
      <c r="M162" s="330"/>
      <c r="N162" s="330"/>
      <c r="O162" s="330"/>
      <c r="P162" s="330"/>
      <c r="Q162" s="330"/>
      <c r="R162" s="330"/>
      <c r="S162" s="330"/>
      <c r="T162" s="330"/>
      <c r="U162" s="331"/>
      <c r="V162" s="247" t="e">
        <f>VLOOKUP(E162,Лист4!A$2:G$499,7)</f>
        <v>#N/A</v>
      </c>
      <c r="W162" s="247">
        <f>IF(ISNA(V162),VLOOKUP(E162,категория!A$16:C$41,3,),11.12+R162*8.333/VLOOKUP(V162,категория!A$16:C$41,2,))</f>
        <v>2.78</v>
      </c>
    </row>
    <row r="163" spans="1:23" ht="15" customHeight="1">
      <c r="A163" s="301">
        <v>43847.604166666664</v>
      </c>
      <c r="B163" s="301">
        <v>43847.625</v>
      </c>
      <c r="C163" s="301">
        <f t="shared" si="12"/>
        <v>2.0833333335758653E-2</v>
      </c>
      <c r="D163" s="311">
        <v>2.0833333333333332E-2</v>
      </c>
      <c r="E163" s="329" t="s">
        <v>8</v>
      </c>
      <c r="F163" s="330"/>
      <c r="G163" s="330"/>
      <c r="H163" s="330"/>
      <c r="I163" s="330"/>
      <c r="J163" s="330"/>
      <c r="K163" s="330"/>
      <c r="L163" s="330"/>
      <c r="M163" s="330"/>
      <c r="N163" s="330"/>
      <c r="O163" s="330"/>
      <c r="P163" s="330"/>
      <c r="Q163" s="330"/>
      <c r="R163" s="330"/>
      <c r="S163" s="330"/>
      <c r="T163" s="330"/>
      <c r="U163" s="331"/>
      <c r="V163" s="247" t="e">
        <f>VLOOKUP(E163,Лист4!A$2:G$499,7)</f>
        <v>#N/A</v>
      </c>
      <c r="W163" s="247">
        <f>IF(ISNA(V163),VLOOKUP(E163,категория!A$16:C$41,3,),11.12+R163*8.333/VLOOKUP(V163,категория!A$16:C$41,2,))</f>
        <v>4.17</v>
      </c>
    </row>
    <row r="164" spans="1:23" ht="60">
      <c r="A164" s="301">
        <v>43847.625</v>
      </c>
      <c r="B164" s="301">
        <v>43847.701388888891</v>
      </c>
      <c r="C164" s="301">
        <f t="shared" si="12"/>
        <v>7.6388888890505768E-2</v>
      </c>
      <c r="D164" s="311">
        <v>7.6388888888888895E-2</v>
      </c>
      <c r="E164" s="302">
        <v>127</v>
      </c>
      <c r="F164" s="303" t="s">
        <v>234</v>
      </c>
      <c r="G164" s="303" t="s">
        <v>638</v>
      </c>
      <c r="H164" s="304" t="s">
        <v>273</v>
      </c>
      <c r="I164" s="305">
        <v>43853</v>
      </c>
      <c r="J164" s="306"/>
      <c r="K164" s="302" t="s">
        <v>256</v>
      </c>
      <c r="L164" s="307" t="s">
        <v>232</v>
      </c>
      <c r="M164" s="308"/>
      <c r="N164" s="303" t="s">
        <v>35</v>
      </c>
      <c r="O164" s="302">
        <v>250</v>
      </c>
      <c r="P164" s="302" t="s">
        <v>236</v>
      </c>
      <c r="Q164" s="309" t="s">
        <v>241</v>
      </c>
      <c r="R164" s="310">
        <v>3420</v>
      </c>
      <c r="S164" s="310">
        <v>3045</v>
      </c>
      <c r="T164" s="306" t="s">
        <v>232</v>
      </c>
      <c r="U164" s="310" t="s">
        <v>37</v>
      </c>
      <c r="V164" s="247" t="s">
        <v>60</v>
      </c>
      <c r="W164" s="247">
        <f>IF(ISNA(V164),VLOOKUP(E164,категория!A$16:C$41,3,),11.12+R164*8.333/VLOOKUP(V164,категория!A$16:C$41,2,))</f>
        <v>25.369430000000001</v>
      </c>
    </row>
    <row r="165" spans="1:23" ht="15.75">
      <c r="A165" s="301">
        <v>43847.701388888891</v>
      </c>
      <c r="B165" s="301">
        <v>43847.722222222219</v>
      </c>
      <c r="C165" s="301">
        <f t="shared" si="12"/>
        <v>2.0833333328482695E-2</v>
      </c>
      <c r="D165" s="311">
        <v>3.472222222222222E-3</v>
      </c>
      <c r="E165" s="329" t="s">
        <v>327</v>
      </c>
      <c r="F165" s="330"/>
      <c r="G165" s="330"/>
      <c r="H165" s="330"/>
      <c r="I165" s="330"/>
      <c r="J165" s="330"/>
      <c r="K165" s="330"/>
      <c r="L165" s="330"/>
      <c r="M165" s="330"/>
      <c r="N165" s="330"/>
      <c r="O165" s="330"/>
      <c r="P165" s="330"/>
      <c r="Q165" s="330"/>
      <c r="R165" s="330"/>
      <c r="S165" s="330"/>
      <c r="T165" s="330"/>
      <c r="U165" s="331"/>
      <c r="V165" s="247" t="e">
        <f>VLOOKUP(E165,Лист4!A$2:G$499,7)</f>
        <v>#N/A</v>
      </c>
      <c r="W165" s="247">
        <f>8.33*0.5</f>
        <v>4.165</v>
      </c>
    </row>
    <row r="166" spans="1:23" ht="15.75">
      <c r="A166" s="301">
        <v>43847.722222222219</v>
      </c>
      <c r="B166" s="301">
        <v>43847.743055555555</v>
      </c>
      <c r="C166" s="301">
        <f t="shared" si="12"/>
        <v>2.0833333335758653E-2</v>
      </c>
      <c r="D166" s="311">
        <v>2.0833333333333332E-2</v>
      </c>
      <c r="E166" s="329" t="s">
        <v>2</v>
      </c>
      <c r="F166" s="330"/>
      <c r="G166" s="330"/>
      <c r="H166" s="330"/>
      <c r="I166" s="330"/>
      <c r="J166" s="330"/>
      <c r="K166" s="330"/>
      <c r="L166" s="330"/>
      <c r="M166" s="330"/>
      <c r="N166" s="330"/>
      <c r="O166" s="330"/>
      <c r="P166" s="330"/>
      <c r="Q166" s="330"/>
      <c r="R166" s="330"/>
      <c r="S166" s="330"/>
      <c r="T166" s="330"/>
      <c r="U166" s="331"/>
      <c r="V166" s="247" t="e">
        <f>VLOOKUP(E166,Лист4!A$2:G$499,7)</f>
        <v>#N/A</v>
      </c>
      <c r="W166" s="247">
        <f>IF(ISNA(V166),VLOOKUP(E166,категория!A$16:C$41,3,),11.12+R166*8.333/VLOOKUP(V166,категория!A$16:C$41,2,))</f>
        <v>4.17</v>
      </c>
    </row>
    <row r="167" spans="1:23" ht="15.75">
      <c r="A167" s="301">
        <v>43847.743055555555</v>
      </c>
      <c r="B167" s="301">
        <v>43847.760416666664</v>
      </c>
      <c r="C167" s="301">
        <f t="shared" si="12"/>
        <v>1.7361111109494232E-2</v>
      </c>
      <c r="D167" s="311">
        <v>1.7361111111111112E-2</v>
      </c>
      <c r="E167" s="329" t="s">
        <v>3</v>
      </c>
      <c r="F167" s="330"/>
      <c r="G167" s="330"/>
      <c r="H167" s="330"/>
      <c r="I167" s="330"/>
      <c r="J167" s="330"/>
      <c r="K167" s="330"/>
      <c r="L167" s="330"/>
      <c r="M167" s="330"/>
      <c r="N167" s="330"/>
      <c r="O167" s="330"/>
      <c r="P167" s="330"/>
      <c r="Q167" s="330"/>
      <c r="R167" s="330"/>
      <c r="S167" s="330"/>
      <c r="T167" s="330"/>
      <c r="U167" s="331"/>
      <c r="V167" s="247" t="e">
        <f>VLOOKUP(E167,Лист4!A$2:G$499,7)</f>
        <v>#N/A</v>
      </c>
      <c r="W167" s="247">
        <f>IF(ISNA(V167),VLOOKUP(E167,категория!A$16:C$41,3,),11.12+R167*8.333/VLOOKUP(V167,категория!A$16:C$41,2,))</f>
        <v>3.48</v>
      </c>
    </row>
    <row r="168" spans="1:23" ht="15.75">
      <c r="A168" s="301">
        <v>43847.760416666664</v>
      </c>
      <c r="B168" s="301">
        <v>43847.833333333336</v>
      </c>
      <c r="C168" s="301">
        <f t="shared" si="12"/>
        <v>7.2916666671517305E-2</v>
      </c>
      <c r="D168" s="311">
        <v>4.1666666666666664E-2</v>
      </c>
      <c r="E168" s="329" t="s">
        <v>7</v>
      </c>
      <c r="F168" s="330"/>
      <c r="G168" s="330"/>
      <c r="H168" s="330"/>
      <c r="I168" s="330"/>
      <c r="J168" s="330"/>
      <c r="K168" s="330"/>
      <c r="L168" s="330"/>
      <c r="M168" s="330"/>
      <c r="N168" s="330"/>
      <c r="O168" s="330"/>
      <c r="P168" s="330"/>
      <c r="Q168" s="330"/>
      <c r="R168" s="330"/>
      <c r="S168" s="330"/>
      <c r="T168" s="330"/>
      <c r="U168" s="331"/>
      <c r="V168" s="247" t="e">
        <f>VLOOKUP(E168,Лист4!A$2:G$499,7)</f>
        <v>#N/A</v>
      </c>
      <c r="W168" s="247">
        <f>8.33*1.75</f>
        <v>14.577500000000001</v>
      </c>
    </row>
    <row r="169" spans="1:23" ht="15.75">
      <c r="A169" s="312">
        <v>43847.833333333336</v>
      </c>
      <c r="B169" s="332" t="s">
        <v>639</v>
      </c>
      <c r="C169" s="333"/>
      <c r="D169" s="334"/>
      <c r="E169" s="334"/>
      <c r="F169" s="334"/>
      <c r="G169" s="334"/>
      <c r="H169" s="334"/>
      <c r="I169" s="334"/>
      <c r="J169" s="334"/>
      <c r="K169" s="334"/>
      <c r="L169" s="334"/>
      <c r="M169" s="334"/>
      <c r="N169" s="334"/>
      <c r="O169" s="334"/>
      <c r="P169" s="334"/>
      <c r="Q169" s="334"/>
      <c r="R169" s="334"/>
      <c r="S169" s="334"/>
      <c r="T169" s="334"/>
      <c r="U169" s="335"/>
      <c r="V169" s="247" t="e">
        <f>VLOOKUP(E169,Лист4!A$2:G$499,7)</f>
        <v>#N/A</v>
      </c>
      <c r="W169" s="52">
        <f>SUM(W158:W168)</f>
        <v>95.901360000000011</v>
      </c>
    </row>
    <row r="170" spans="1:23" ht="36.75" customHeight="1">
      <c r="A170" s="301">
        <v>43847.833333333336</v>
      </c>
      <c r="B170" s="301">
        <v>43847.854166666664</v>
      </c>
      <c r="C170" s="301">
        <f>B170-A170</f>
        <v>2.0833333328482695E-2</v>
      </c>
      <c r="D170" s="311">
        <v>2.0833333333333332E-2</v>
      </c>
      <c r="E170" s="329" t="s">
        <v>22</v>
      </c>
      <c r="F170" s="330"/>
      <c r="G170" s="330"/>
      <c r="H170" s="330"/>
      <c r="I170" s="330"/>
      <c r="J170" s="330"/>
      <c r="K170" s="330"/>
      <c r="L170" s="330"/>
      <c r="M170" s="330"/>
      <c r="N170" s="330"/>
      <c r="O170" s="330"/>
      <c r="P170" s="330"/>
      <c r="Q170" s="330"/>
      <c r="R170" s="330"/>
      <c r="S170" s="330"/>
      <c r="T170" s="330"/>
      <c r="U170" s="331"/>
      <c r="V170" s="247" t="e">
        <f>VLOOKUP(E170,Лист4!A$2:G$499,7)</f>
        <v>#N/A</v>
      </c>
      <c r="W170" s="247">
        <f>IF(ISNA(V170),VLOOKUP(E170,категория!A$16:C$41,3,),11.12+R170*8.333/VLOOKUP(V170,категория!A$16:C$41,2,))</f>
        <v>4.17</v>
      </c>
    </row>
    <row r="171" spans="1:23" ht="15.75">
      <c r="A171" s="301">
        <v>43847.854166666664</v>
      </c>
      <c r="B171" s="301">
        <v>43847.881944444445</v>
      </c>
      <c r="C171" s="301">
        <f t="shared" ref="C171:C183" si="13">B171-A171</f>
        <v>2.7777777781011537E-2</v>
      </c>
      <c r="D171" s="311">
        <v>4.1666666666666664E-2</v>
      </c>
      <c r="E171" s="329" t="s">
        <v>263</v>
      </c>
      <c r="F171" s="330"/>
      <c r="G171" s="330"/>
      <c r="H171" s="330"/>
      <c r="I171" s="330"/>
      <c r="J171" s="330"/>
      <c r="K171" s="330"/>
      <c r="L171" s="330"/>
      <c r="M171" s="330"/>
      <c r="N171" s="330"/>
      <c r="O171" s="330"/>
      <c r="P171" s="330"/>
      <c r="Q171" s="330"/>
      <c r="R171" s="330"/>
      <c r="S171" s="330"/>
      <c r="T171" s="330"/>
      <c r="U171" s="331"/>
      <c r="V171" s="247" t="e">
        <f>VLOOKUP(E171,Лист4!A$2:G$499,7)</f>
        <v>#N/A</v>
      </c>
      <c r="W171" s="247">
        <f>8.333*0.6667</f>
        <v>5.5556111000000001</v>
      </c>
    </row>
    <row r="172" spans="1:23" ht="15.75">
      <c r="A172" s="301">
        <v>43847.881944444445</v>
      </c>
      <c r="B172" s="301">
        <v>43847.916666666664</v>
      </c>
      <c r="C172" s="301">
        <f t="shared" si="13"/>
        <v>3.4722222218988463E-2</v>
      </c>
      <c r="D172" s="311">
        <v>2.0833333333333332E-2</v>
      </c>
      <c r="E172" s="329" t="s">
        <v>8</v>
      </c>
      <c r="F172" s="330"/>
      <c r="G172" s="330"/>
      <c r="H172" s="330"/>
      <c r="I172" s="330"/>
      <c r="J172" s="330"/>
      <c r="K172" s="330"/>
      <c r="L172" s="330"/>
      <c r="M172" s="330"/>
      <c r="N172" s="330"/>
      <c r="O172" s="330"/>
      <c r="P172" s="330"/>
      <c r="Q172" s="330"/>
      <c r="R172" s="330"/>
      <c r="S172" s="330"/>
      <c r="T172" s="330"/>
      <c r="U172" s="331"/>
      <c r="V172" s="247" t="e">
        <f>VLOOKUP(E172,Лист4!A$2:G$499,7)</f>
        <v>#N/A</v>
      </c>
      <c r="W172" s="247">
        <f>IF(ISNA(V172),VLOOKUP(E172,категория!A$16:C$41,3,),11.12+R172*8.333/VLOOKUP(V172,категория!A$16:C$41,2,))</f>
        <v>4.17</v>
      </c>
    </row>
    <row r="173" spans="1:23" ht="84">
      <c r="A173" s="301">
        <v>43847.916666666664</v>
      </c>
      <c r="B173" s="301">
        <v>43847.979166666664</v>
      </c>
      <c r="C173" s="301">
        <f t="shared" si="13"/>
        <v>6.25E-2</v>
      </c>
      <c r="D173" s="311">
        <v>6.25E-2</v>
      </c>
      <c r="E173" s="302">
        <v>106</v>
      </c>
      <c r="F173" s="303" t="s">
        <v>640</v>
      </c>
      <c r="G173" s="303" t="s">
        <v>641</v>
      </c>
      <c r="H173" s="304" t="s">
        <v>226</v>
      </c>
      <c r="I173" s="305">
        <v>43852</v>
      </c>
      <c r="J173" s="306"/>
      <c r="K173" s="302" t="s">
        <v>227</v>
      </c>
      <c r="L173" s="307"/>
      <c r="M173" s="308"/>
      <c r="N173" s="303" t="s">
        <v>39</v>
      </c>
      <c r="O173" s="302">
        <v>210</v>
      </c>
      <c r="P173" s="302" t="s">
        <v>236</v>
      </c>
      <c r="Q173" s="309" t="s">
        <v>229</v>
      </c>
      <c r="R173" s="310">
        <v>1150</v>
      </c>
      <c r="S173" s="310">
        <v>1290</v>
      </c>
      <c r="T173" s="306" t="s">
        <v>232</v>
      </c>
      <c r="U173" s="310" t="s">
        <v>593</v>
      </c>
      <c r="V173" s="247" t="str">
        <f>VLOOKUP(E173,Лист4!A$2:G$499,7)</f>
        <v>мел+офсет</v>
      </c>
      <c r="W173" s="247">
        <f>IF(ISNA(V173),VLOOKUP(E173,категория!A$16:C$41,3,),11.12+R173*8.333/VLOOKUP(V173,категория!A$16:C$41,2,))</f>
        <v>14.95318</v>
      </c>
    </row>
    <row r="174" spans="1:23" ht="15.75">
      <c r="A174" s="301">
        <v>43847.979166666664</v>
      </c>
      <c r="B174" s="301">
        <v>43848</v>
      </c>
      <c r="C174" s="301">
        <f t="shared" si="13"/>
        <v>2.0833333335758653E-2</v>
      </c>
      <c r="D174" s="311">
        <v>2.0833333333333332E-2</v>
      </c>
      <c r="E174" s="329" t="s">
        <v>2</v>
      </c>
      <c r="F174" s="330"/>
      <c r="G174" s="330"/>
      <c r="H174" s="330"/>
      <c r="I174" s="330"/>
      <c r="J174" s="330"/>
      <c r="K174" s="330"/>
      <c r="L174" s="330"/>
      <c r="M174" s="330"/>
      <c r="N174" s="330"/>
      <c r="O174" s="330"/>
      <c r="P174" s="330"/>
      <c r="Q174" s="330"/>
      <c r="R174" s="330"/>
      <c r="S174" s="330"/>
      <c r="T174" s="330"/>
      <c r="U174" s="331"/>
      <c r="V174" s="247" t="e">
        <f>VLOOKUP(E174,Лист4!A$2:G$499,7)</f>
        <v>#N/A</v>
      </c>
      <c r="W174" s="247">
        <f>IF(ISNA(V174),VLOOKUP(E174,категория!A$16:C$41,3,),11.12+R174*8.333/VLOOKUP(V174,категория!A$16:C$41,2,))</f>
        <v>4.17</v>
      </c>
    </row>
    <row r="175" spans="1:23" ht="15.75">
      <c r="A175" s="301">
        <v>43848</v>
      </c>
      <c r="B175" s="301">
        <v>43848.048611111109</v>
      </c>
      <c r="C175" s="301">
        <f t="shared" si="13"/>
        <v>4.8611111109494232E-2</v>
      </c>
      <c r="D175" s="311">
        <v>2.0833333333333332E-2</v>
      </c>
      <c r="E175" s="329" t="s">
        <v>23</v>
      </c>
      <c r="F175" s="330"/>
      <c r="G175" s="330"/>
      <c r="H175" s="330"/>
      <c r="I175" s="330"/>
      <c r="J175" s="330"/>
      <c r="K175" s="330"/>
      <c r="L175" s="330"/>
      <c r="M175" s="330"/>
      <c r="N175" s="330"/>
      <c r="O175" s="330"/>
      <c r="P175" s="330"/>
      <c r="Q175" s="330"/>
      <c r="R175" s="330"/>
      <c r="S175" s="330"/>
      <c r="T175" s="330"/>
      <c r="U175" s="331"/>
      <c r="V175" s="247" t="e">
        <f>VLOOKUP(E175,Лист4!A$2:G$499,7)</f>
        <v>#N/A</v>
      </c>
      <c r="W175" s="247">
        <f>IF(ISNA(V175),VLOOKUP(E175,категория!A$16:C$41,3,),11.12+R175*8.333/VLOOKUP(V175,категория!A$16:C$41,2,))</f>
        <v>2.78</v>
      </c>
    </row>
    <row r="176" spans="1:23" ht="15.75">
      <c r="A176" s="301">
        <v>43848.048611111109</v>
      </c>
      <c r="B176" s="301">
        <v>43848.069444444445</v>
      </c>
      <c r="C176" s="301">
        <f t="shared" si="13"/>
        <v>2.0833333335758653E-2</v>
      </c>
      <c r="D176" s="311">
        <v>1.7361111111111112E-2</v>
      </c>
      <c r="E176" s="329" t="s">
        <v>3</v>
      </c>
      <c r="F176" s="330"/>
      <c r="G176" s="330"/>
      <c r="H176" s="330"/>
      <c r="I176" s="330"/>
      <c r="J176" s="330"/>
      <c r="K176" s="330"/>
      <c r="L176" s="330"/>
      <c r="M176" s="330"/>
      <c r="N176" s="330"/>
      <c r="O176" s="330"/>
      <c r="P176" s="330"/>
      <c r="Q176" s="330"/>
      <c r="R176" s="330"/>
      <c r="S176" s="330"/>
      <c r="T176" s="330"/>
      <c r="U176" s="331"/>
      <c r="V176" s="247" t="e">
        <f>VLOOKUP(E176,Лист4!A$2:G$499,7)</f>
        <v>#N/A</v>
      </c>
      <c r="W176" s="247">
        <f>IF(ISNA(V176),VLOOKUP(E176,категория!A$16:C$41,3,),11.12+R176*8.333/VLOOKUP(V176,категория!A$16:C$41,2,))</f>
        <v>3.48</v>
      </c>
    </row>
    <row r="177" spans="1:23" ht="15" customHeight="1">
      <c r="A177" s="301">
        <v>43848.069444444445</v>
      </c>
      <c r="B177" s="301">
        <v>43848.09375</v>
      </c>
      <c r="C177" s="301">
        <f t="shared" si="13"/>
        <v>2.4305555554747116E-2</v>
      </c>
      <c r="D177" s="311">
        <v>2.0833333333333332E-2</v>
      </c>
      <c r="E177" s="329" t="s">
        <v>8</v>
      </c>
      <c r="F177" s="330"/>
      <c r="G177" s="330"/>
      <c r="H177" s="330"/>
      <c r="I177" s="330"/>
      <c r="J177" s="330"/>
      <c r="K177" s="330"/>
      <c r="L177" s="330"/>
      <c r="M177" s="330"/>
      <c r="N177" s="330"/>
      <c r="O177" s="330"/>
      <c r="P177" s="330"/>
      <c r="Q177" s="330"/>
      <c r="R177" s="330"/>
      <c r="S177" s="330"/>
      <c r="T177" s="330"/>
      <c r="U177" s="331"/>
      <c r="V177" s="247" t="e">
        <f>VLOOKUP(E177,Лист4!A$2:G$499,7)</f>
        <v>#N/A</v>
      </c>
      <c r="W177" s="247">
        <f>IF(ISNA(V177),VLOOKUP(E177,категория!A$16:C$41,3,),11.12+R177*8.333/VLOOKUP(V177,категория!A$16:C$41,2,))</f>
        <v>4.17</v>
      </c>
    </row>
    <row r="178" spans="1:23" ht="72">
      <c r="A178" s="301">
        <v>43848.09375</v>
      </c>
      <c r="B178" s="301">
        <v>43848.180555555555</v>
      </c>
      <c r="C178" s="301">
        <f t="shared" si="13"/>
        <v>8.6805555554747116E-2</v>
      </c>
      <c r="D178" s="311">
        <v>8.6805555555555566E-2</v>
      </c>
      <c r="E178" s="302">
        <v>132</v>
      </c>
      <c r="F178" s="303" t="s">
        <v>234</v>
      </c>
      <c r="G178" s="303" t="s">
        <v>642</v>
      </c>
      <c r="H178" s="304" t="s">
        <v>252</v>
      </c>
      <c r="I178" s="305">
        <v>43853</v>
      </c>
      <c r="J178" s="306"/>
      <c r="K178" s="302" t="s">
        <v>256</v>
      </c>
      <c r="L178" s="307" t="s">
        <v>232</v>
      </c>
      <c r="M178" s="308"/>
      <c r="N178" s="303" t="s">
        <v>38</v>
      </c>
      <c r="O178" s="302">
        <v>70</v>
      </c>
      <c r="P178" s="302" t="s">
        <v>272</v>
      </c>
      <c r="Q178" s="309" t="s">
        <v>229</v>
      </c>
      <c r="R178" s="310">
        <v>3000</v>
      </c>
      <c r="S178" s="310">
        <v>3420</v>
      </c>
      <c r="T178" s="306"/>
      <c r="U178" s="310" t="s">
        <v>593</v>
      </c>
      <c r="V178" s="247" t="str">
        <f>VLOOKUP(E178,Лист4!A$2:G$499,7)</f>
        <v>мел+офсет</v>
      </c>
      <c r="W178" s="247">
        <f>IF(ISNA(V178),VLOOKUP(E178,категория!A$16:C$41,3,),11.12/4+R178*8.333/VLOOKUP(V178,категория!A$16:C$41,2,))</f>
        <v>12.779599999999999</v>
      </c>
    </row>
    <row r="179" spans="1:23" ht="15.75">
      <c r="A179" s="301">
        <v>43848.180555555555</v>
      </c>
      <c r="B179" s="301">
        <v>43848.1875</v>
      </c>
      <c r="C179" s="301">
        <f t="shared" si="13"/>
        <v>6.9444444452528842E-3</v>
      </c>
      <c r="D179" s="311">
        <v>2.0833333333333332E-2</v>
      </c>
      <c r="E179" s="329" t="s">
        <v>2</v>
      </c>
      <c r="F179" s="330"/>
      <c r="G179" s="330"/>
      <c r="H179" s="330"/>
      <c r="I179" s="330"/>
      <c r="J179" s="330"/>
      <c r="K179" s="330"/>
      <c r="L179" s="330"/>
      <c r="M179" s="330"/>
      <c r="N179" s="330"/>
      <c r="O179" s="330"/>
      <c r="P179" s="330"/>
      <c r="Q179" s="330"/>
      <c r="R179" s="330"/>
      <c r="S179" s="330"/>
      <c r="T179" s="330"/>
      <c r="U179" s="331"/>
      <c r="V179" s="247" t="e">
        <f>VLOOKUP(E179,Лист4!A$2:G$499,7)</f>
        <v>#N/A</v>
      </c>
      <c r="W179" s="247">
        <f>IF(ISNA(V179),VLOOKUP(E179,категория!A$16:C$41,3,),11.12+R179*8.333/VLOOKUP(V179,категория!A$16:C$41,2,))</f>
        <v>4.17</v>
      </c>
    </row>
    <row r="180" spans="1:23" ht="15.75">
      <c r="A180" s="301">
        <v>43848.1875</v>
      </c>
      <c r="B180" s="301">
        <v>43848.215277777781</v>
      </c>
      <c r="C180" s="301">
        <f t="shared" si="13"/>
        <v>2.7777777781011537E-2</v>
      </c>
      <c r="D180" s="311">
        <v>3.472222222222222E-3</v>
      </c>
      <c r="E180" s="329" t="s">
        <v>327</v>
      </c>
      <c r="F180" s="330"/>
      <c r="G180" s="330"/>
      <c r="H180" s="330"/>
      <c r="I180" s="330"/>
      <c r="J180" s="330"/>
      <c r="K180" s="330"/>
      <c r="L180" s="330"/>
      <c r="M180" s="330"/>
      <c r="N180" s="330"/>
      <c r="O180" s="330"/>
      <c r="P180" s="330"/>
      <c r="Q180" s="330"/>
      <c r="R180" s="330"/>
      <c r="S180" s="330"/>
      <c r="T180" s="330"/>
      <c r="U180" s="331"/>
      <c r="V180" s="247" t="e">
        <f>VLOOKUP(E180,Лист4!A$2:G$499,7)</f>
        <v>#N/A</v>
      </c>
      <c r="W180" s="247">
        <f>8.33*0.6667</f>
        <v>5.5536110000000001</v>
      </c>
    </row>
    <row r="181" spans="1:23" ht="72">
      <c r="A181" s="301">
        <v>43848.215277777781</v>
      </c>
      <c r="B181" s="301">
        <v>43848.302083333336</v>
      </c>
      <c r="C181" s="301">
        <f t="shared" si="13"/>
        <v>8.6805555554747116E-2</v>
      </c>
      <c r="D181" s="311">
        <v>8.6805555555555566E-2</v>
      </c>
      <c r="E181" s="302">
        <v>132</v>
      </c>
      <c r="F181" s="303" t="s">
        <v>234</v>
      </c>
      <c r="G181" s="303" t="s">
        <v>642</v>
      </c>
      <c r="H181" s="304" t="s">
        <v>251</v>
      </c>
      <c r="I181" s="305">
        <v>43853</v>
      </c>
      <c r="J181" s="306"/>
      <c r="K181" s="302" t="s">
        <v>266</v>
      </c>
      <c r="L181" s="307" t="s">
        <v>232</v>
      </c>
      <c r="M181" s="308"/>
      <c r="N181" s="303" t="s">
        <v>38</v>
      </c>
      <c r="O181" s="302">
        <v>70</v>
      </c>
      <c r="P181" s="302" t="s">
        <v>272</v>
      </c>
      <c r="Q181" s="309" t="s">
        <v>229</v>
      </c>
      <c r="R181" s="310">
        <v>3090</v>
      </c>
      <c r="S181" s="310">
        <v>3420</v>
      </c>
      <c r="T181" s="306"/>
      <c r="U181" s="310" t="s">
        <v>593</v>
      </c>
      <c r="V181" s="247" t="str">
        <f>VLOOKUP(E181,Лист4!A$2:G$499,7)</f>
        <v>мел+офсет</v>
      </c>
      <c r="W181" s="247">
        <f>IF(ISNA(V181),VLOOKUP(E181,категория!A$16:C$41,3,),R181*8.333/VLOOKUP(V181,категория!A$16:C$41,2,))</f>
        <v>10.299588</v>
      </c>
    </row>
    <row r="182" spans="1:23" ht="15.75">
      <c r="A182" s="301">
        <v>43848.302083333336</v>
      </c>
      <c r="B182" s="301">
        <v>43848.322916666664</v>
      </c>
      <c r="C182" s="301">
        <f t="shared" si="13"/>
        <v>2.0833333328482695E-2</v>
      </c>
      <c r="D182" s="311">
        <v>2.0833333333333332E-2</v>
      </c>
      <c r="E182" s="329" t="s">
        <v>2</v>
      </c>
      <c r="F182" s="330"/>
      <c r="G182" s="330"/>
      <c r="H182" s="330"/>
      <c r="I182" s="330"/>
      <c r="J182" s="330"/>
      <c r="K182" s="330"/>
      <c r="L182" s="330"/>
      <c r="M182" s="330"/>
      <c r="N182" s="330"/>
      <c r="O182" s="330"/>
      <c r="P182" s="330"/>
      <c r="Q182" s="330"/>
      <c r="R182" s="330"/>
      <c r="S182" s="330"/>
      <c r="T182" s="330"/>
      <c r="U182" s="331"/>
      <c r="V182" s="247" t="e">
        <f>VLOOKUP(E182,Лист4!A$2:G$499,7)</f>
        <v>#N/A</v>
      </c>
      <c r="W182" s="247">
        <f>IF(ISNA(V182),VLOOKUP(E182,категория!A$16:C$41,3,),11.12+R182*8.333/VLOOKUP(V182,категория!A$16:C$41,2,))</f>
        <v>4.17</v>
      </c>
    </row>
    <row r="183" spans="1:23" ht="15.75">
      <c r="A183" s="301">
        <v>43848.322916666664</v>
      </c>
      <c r="B183" s="301">
        <v>43848.333333333336</v>
      </c>
      <c r="C183" s="301">
        <f t="shared" si="13"/>
        <v>1.0416666671517305E-2</v>
      </c>
      <c r="D183" s="311">
        <v>2.0833333333333332E-2</v>
      </c>
      <c r="E183" s="329" t="s">
        <v>22</v>
      </c>
      <c r="F183" s="330"/>
      <c r="G183" s="330"/>
      <c r="H183" s="330"/>
      <c r="I183" s="330"/>
      <c r="J183" s="330"/>
      <c r="K183" s="330"/>
      <c r="L183" s="330"/>
      <c r="M183" s="330"/>
      <c r="N183" s="330"/>
      <c r="O183" s="330"/>
      <c r="P183" s="330"/>
      <c r="Q183" s="330"/>
      <c r="R183" s="330"/>
      <c r="S183" s="330"/>
      <c r="T183" s="330"/>
      <c r="U183" s="331"/>
      <c r="V183" s="247" t="e">
        <f>VLOOKUP(E183,Лист4!A$2:G$499,7)</f>
        <v>#N/A</v>
      </c>
      <c r="W183" s="247">
        <f>IF(ISNA(V183),VLOOKUP(E183,категория!A$16:C$41,3,),11.12+R183*8.333/VLOOKUP(V183,категория!A$16:C$41,2,))</f>
        <v>4.17</v>
      </c>
    </row>
    <row r="184" spans="1:23" ht="15.75">
      <c r="A184" s="312">
        <v>43848.333333333336</v>
      </c>
      <c r="B184" s="332" t="s">
        <v>643</v>
      </c>
      <c r="C184" s="333"/>
      <c r="D184" s="334"/>
      <c r="E184" s="334"/>
      <c r="F184" s="334"/>
      <c r="G184" s="334"/>
      <c r="H184" s="334"/>
      <c r="I184" s="334"/>
      <c r="J184" s="334"/>
      <c r="K184" s="334"/>
      <c r="L184" s="334"/>
      <c r="M184" s="334"/>
      <c r="N184" s="334"/>
      <c r="O184" s="334"/>
      <c r="P184" s="334"/>
      <c r="Q184" s="334"/>
      <c r="R184" s="334"/>
      <c r="S184" s="334"/>
      <c r="T184" s="334"/>
      <c r="U184" s="335"/>
      <c r="V184" s="247" t="e">
        <f>VLOOKUP(E184,Лист4!A$2:G$499,7)</f>
        <v>#N/A</v>
      </c>
      <c r="W184" s="52">
        <f>SUM(W170:W183)</f>
        <v>84.591590100000005</v>
      </c>
    </row>
    <row r="185" spans="1:23" ht="15" customHeight="1">
      <c r="A185" s="301">
        <v>43848.333333333336</v>
      </c>
      <c r="B185" s="301">
        <v>43848.354166666664</v>
      </c>
      <c r="C185" s="301">
        <f>B185-A185</f>
        <v>2.0833333328482695E-2</v>
      </c>
      <c r="D185" s="311">
        <v>2.0833333333333332E-2</v>
      </c>
      <c r="E185" s="329" t="s">
        <v>22</v>
      </c>
      <c r="F185" s="330"/>
      <c r="G185" s="330"/>
      <c r="H185" s="330"/>
      <c r="I185" s="330"/>
      <c r="J185" s="330"/>
      <c r="K185" s="330"/>
      <c r="L185" s="330"/>
      <c r="M185" s="330"/>
      <c r="N185" s="330"/>
      <c r="O185" s="330"/>
      <c r="P185" s="330"/>
      <c r="Q185" s="330"/>
      <c r="R185" s="330"/>
      <c r="S185" s="330"/>
      <c r="T185" s="330"/>
      <c r="U185" s="331"/>
      <c r="V185" s="247" t="e">
        <f>VLOOKUP(E185,Лист4!A$2:G$499,7)</f>
        <v>#N/A</v>
      </c>
      <c r="W185" s="247">
        <f>IF(ISNA(V185),VLOOKUP(E185,категория!A$16:C$41,3,),11.12+R185*8.333/VLOOKUP(V185,категория!A$16:C$41,2,))</f>
        <v>4.17</v>
      </c>
    </row>
    <row r="186" spans="1:23" ht="15.75">
      <c r="A186" s="301">
        <v>43848.354166666664</v>
      </c>
      <c r="B186" s="301">
        <v>43848.375</v>
      </c>
      <c r="C186" s="301">
        <f t="shared" ref="C186:C195" si="14">B186-A186</f>
        <v>2.0833333335758653E-2</v>
      </c>
      <c r="D186" s="311">
        <v>1.7361111111111112E-2</v>
      </c>
      <c r="E186" s="329" t="s">
        <v>3</v>
      </c>
      <c r="F186" s="330"/>
      <c r="G186" s="330"/>
      <c r="H186" s="330"/>
      <c r="I186" s="330"/>
      <c r="J186" s="330"/>
      <c r="K186" s="330"/>
      <c r="L186" s="330"/>
      <c r="M186" s="330"/>
      <c r="N186" s="330"/>
      <c r="O186" s="330"/>
      <c r="P186" s="330"/>
      <c r="Q186" s="330"/>
      <c r="R186" s="330"/>
      <c r="S186" s="330"/>
      <c r="T186" s="330"/>
      <c r="U186" s="331"/>
      <c r="V186" s="247" t="e">
        <f>VLOOKUP(E186,Лист4!A$2:G$499,7)</f>
        <v>#N/A</v>
      </c>
      <c r="W186" s="247">
        <f>IF(ISNA(V186),VLOOKUP(E186,категория!A$16:C$41,3,),11.12+R186*8.333/VLOOKUP(V186,категория!A$16:C$41,2,))</f>
        <v>3.48</v>
      </c>
    </row>
    <row r="187" spans="1:23" ht="15.75">
      <c r="A187" s="301">
        <v>43848.375</v>
      </c>
      <c r="B187" s="301">
        <v>43848.395833333336</v>
      </c>
      <c r="C187" s="301">
        <f t="shared" si="14"/>
        <v>2.0833333335758653E-2</v>
      </c>
      <c r="D187" s="311">
        <v>2.0833333333333332E-2</v>
      </c>
      <c r="E187" s="329" t="s">
        <v>8</v>
      </c>
      <c r="F187" s="330"/>
      <c r="G187" s="330"/>
      <c r="H187" s="330"/>
      <c r="I187" s="330"/>
      <c r="J187" s="330"/>
      <c r="K187" s="330"/>
      <c r="L187" s="330"/>
      <c r="M187" s="330"/>
      <c r="N187" s="330"/>
      <c r="O187" s="330"/>
      <c r="P187" s="330"/>
      <c r="Q187" s="330"/>
      <c r="R187" s="330"/>
      <c r="S187" s="330"/>
      <c r="T187" s="330"/>
      <c r="U187" s="331"/>
      <c r="V187" s="247" t="e">
        <f>VLOOKUP(E187,Лист4!A$2:G$499,7)</f>
        <v>#N/A</v>
      </c>
      <c r="W187" s="247">
        <f>IF(ISNA(V187),VLOOKUP(E187,категория!A$16:C$41,3,),11.12+R187*8.333/VLOOKUP(V187,категория!A$16:C$41,2,))</f>
        <v>4.17</v>
      </c>
    </row>
    <row r="188" spans="1:23" ht="15.75">
      <c r="A188" s="301">
        <v>43848.395833333336</v>
      </c>
      <c r="B188" s="301">
        <v>43848.416666666664</v>
      </c>
      <c r="C188" s="301">
        <f t="shared" si="14"/>
        <v>2.0833333328482695E-2</v>
      </c>
      <c r="D188" s="311">
        <v>2.0833333333333332E-2</v>
      </c>
      <c r="E188" s="329" t="s">
        <v>23</v>
      </c>
      <c r="F188" s="330"/>
      <c r="G188" s="330"/>
      <c r="H188" s="330"/>
      <c r="I188" s="330"/>
      <c r="J188" s="330"/>
      <c r="K188" s="330"/>
      <c r="L188" s="330"/>
      <c r="M188" s="330"/>
      <c r="N188" s="330"/>
      <c r="O188" s="330"/>
      <c r="P188" s="330"/>
      <c r="Q188" s="330"/>
      <c r="R188" s="330"/>
      <c r="S188" s="330"/>
      <c r="T188" s="330"/>
      <c r="U188" s="331"/>
      <c r="V188" s="247" t="e">
        <f>VLOOKUP(E188,Лист4!A$2:G$499,7)</f>
        <v>#N/A</v>
      </c>
      <c r="W188" s="247">
        <f>IF(ISNA(V188),VLOOKUP(E188,категория!A$16:C$41,3,),11.12+R188*8.333/VLOOKUP(V188,категория!A$16:C$41,2,))</f>
        <v>2.78</v>
      </c>
    </row>
    <row r="189" spans="1:23" ht="48">
      <c r="A189" s="301">
        <v>43848.416666666664</v>
      </c>
      <c r="B189" s="301">
        <v>43848.555555555555</v>
      </c>
      <c r="C189" s="301">
        <f t="shared" si="14"/>
        <v>0.13888888889050577</v>
      </c>
      <c r="D189" s="311">
        <v>0.1388888888888889</v>
      </c>
      <c r="E189" s="302">
        <v>74</v>
      </c>
      <c r="F189" s="303" t="s">
        <v>644</v>
      </c>
      <c r="G189" s="303" t="s">
        <v>645</v>
      </c>
      <c r="H189" s="304" t="s">
        <v>226</v>
      </c>
      <c r="I189" s="305">
        <v>43861</v>
      </c>
      <c r="J189" s="306"/>
      <c r="K189" s="302" t="s">
        <v>256</v>
      </c>
      <c r="L189" s="307"/>
      <c r="M189" s="308"/>
      <c r="N189" s="303" t="s">
        <v>335</v>
      </c>
      <c r="O189" s="302">
        <v>250</v>
      </c>
      <c r="P189" s="302" t="s">
        <v>228</v>
      </c>
      <c r="Q189" s="309" t="s">
        <v>229</v>
      </c>
      <c r="R189" s="310">
        <v>6140</v>
      </c>
      <c r="S189" s="310">
        <v>6420</v>
      </c>
      <c r="T189" s="306" t="s">
        <v>232</v>
      </c>
      <c r="U189" s="310" t="s">
        <v>36</v>
      </c>
      <c r="V189" s="247" t="str">
        <f>VLOOKUP(E189,Лист4!A$2:G$499,7)</f>
        <v>картон до 250</v>
      </c>
      <c r="W189" s="247">
        <f>IF(ISNA(V189),VLOOKUP(E189,категория!A$16:C$41,3,),11.12/4+R189*8.333/VLOOKUP(V189,категория!A$16:C$41,2,))</f>
        <v>28.362310000000001</v>
      </c>
    </row>
    <row r="190" spans="1:23" ht="15.75">
      <c r="A190" s="301">
        <v>43848.555555555555</v>
      </c>
      <c r="B190" s="301">
        <v>43848.659722222219</v>
      </c>
      <c r="C190" s="301">
        <f t="shared" si="14"/>
        <v>0.10416666666424135</v>
      </c>
      <c r="D190" s="311">
        <v>3.472222222222222E-3</v>
      </c>
      <c r="E190" s="329" t="s">
        <v>327</v>
      </c>
      <c r="F190" s="330"/>
      <c r="G190" s="330"/>
      <c r="H190" s="330"/>
      <c r="I190" s="330"/>
      <c r="J190" s="330"/>
      <c r="K190" s="330"/>
      <c r="L190" s="330"/>
      <c r="M190" s="330"/>
      <c r="N190" s="330"/>
      <c r="O190" s="330"/>
      <c r="P190" s="330"/>
      <c r="Q190" s="330"/>
      <c r="R190" s="330"/>
      <c r="S190" s="330"/>
      <c r="T190" s="330"/>
      <c r="U190" s="331"/>
      <c r="V190" s="247" t="e">
        <f>VLOOKUP(E190,Лист4!A$2:G$499,7)</f>
        <v>#N/A</v>
      </c>
      <c r="W190" s="247">
        <f>2.5*8.333</f>
        <v>20.8325</v>
      </c>
    </row>
    <row r="191" spans="1:23" ht="15.75">
      <c r="A191" s="301">
        <v>43848.659722222219</v>
      </c>
      <c r="B191" s="301">
        <v>43848.666666666664</v>
      </c>
      <c r="C191" s="301">
        <f t="shared" si="14"/>
        <v>6.9444444452528842E-3</v>
      </c>
      <c r="D191" s="311">
        <v>2.0833333333333332E-2</v>
      </c>
      <c r="E191" s="329" t="s">
        <v>2</v>
      </c>
      <c r="F191" s="330"/>
      <c r="G191" s="330"/>
      <c r="H191" s="330"/>
      <c r="I191" s="330"/>
      <c r="J191" s="330"/>
      <c r="K191" s="330"/>
      <c r="L191" s="330"/>
      <c r="M191" s="330"/>
      <c r="N191" s="330"/>
      <c r="O191" s="330"/>
      <c r="P191" s="330"/>
      <c r="Q191" s="330"/>
      <c r="R191" s="330"/>
      <c r="S191" s="330"/>
      <c r="T191" s="330"/>
      <c r="U191" s="331"/>
      <c r="V191" s="247" t="e">
        <f>VLOOKUP(E191,Лист4!A$2:G$499,7)</f>
        <v>#N/A</v>
      </c>
      <c r="W191" s="247">
        <f>IF(ISNA(V191),VLOOKUP(E191,категория!A$16:C$41,3,),11.12+R191*8.333/VLOOKUP(V191,категория!A$16:C$41,2,))</f>
        <v>4.17</v>
      </c>
    </row>
    <row r="192" spans="1:23" ht="15.75">
      <c r="A192" s="301">
        <v>43848.666666666664</v>
      </c>
      <c r="B192" s="301">
        <v>43848.6875</v>
      </c>
      <c r="C192" s="301">
        <f t="shared" si="14"/>
        <v>2.0833333335758653E-2</v>
      </c>
      <c r="D192" s="311">
        <v>1.7361111111111112E-2</v>
      </c>
      <c r="E192" s="329" t="s">
        <v>3</v>
      </c>
      <c r="F192" s="330"/>
      <c r="G192" s="330"/>
      <c r="H192" s="330"/>
      <c r="I192" s="330"/>
      <c r="J192" s="330"/>
      <c r="K192" s="330"/>
      <c r="L192" s="330"/>
      <c r="M192" s="330"/>
      <c r="N192" s="330"/>
      <c r="O192" s="330"/>
      <c r="P192" s="330"/>
      <c r="Q192" s="330"/>
      <c r="R192" s="330"/>
      <c r="S192" s="330"/>
      <c r="T192" s="330"/>
      <c r="U192" s="331"/>
      <c r="V192" s="247" t="e">
        <f>VLOOKUP(E192,Лист4!A$2:G$499,7)</f>
        <v>#N/A</v>
      </c>
      <c r="W192" s="247">
        <f>IF(ISNA(V192),VLOOKUP(E192,категория!A$16:C$41,3,),11.12+R192*8.333/VLOOKUP(V192,категория!A$16:C$41,2,))</f>
        <v>3.48</v>
      </c>
    </row>
    <row r="193" spans="1:23" ht="15.75">
      <c r="A193" s="301">
        <v>43848.6875</v>
      </c>
      <c r="B193" s="301">
        <v>43848.708333333336</v>
      </c>
      <c r="C193" s="301">
        <f t="shared" si="14"/>
        <v>2.0833333335758653E-2</v>
      </c>
      <c r="D193" s="311">
        <v>2.0833333333333332E-2</v>
      </c>
      <c r="E193" s="329" t="s">
        <v>8</v>
      </c>
      <c r="F193" s="330"/>
      <c r="G193" s="330"/>
      <c r="H193" s="330"/>
      <c r="I193" s="330"/>
      <c r="J193" s="330"/>
      <c r="K193" s="330"/>
      <c r="L193" s="330"/>
      <c r="M193" s="330"/>
      <c r="N193" s="330"/>
      <c r="O193" s="330"/>
      <c r="P193" s="330"/>
      <c r="Q193" s="330"/>
      <c r="R193" s="330"/>
      <c r="S193" s="330"/>
      <c r="T193" s="330"/>
      <c r="U193" s="331"/>
      <c r="V193" s="247" t="e">
        <f>VLOOKUP(E193,Лист4!A$2:G$499,7)</f>
        <v>#N/A</v>
      </c>
      <c r="W193" s="247">
        <f>IF(ISNA(V193),VLOOKUP(E193,категория!A$16:C$41,3,),11.12+R193*8.333/VLOOKUP(V193,категория!A$16:C$41,2,))</f>
        <v>4.17</v>
      </c>
    </row>
    <row r="194" spans="1:23" ht="48">
      <c r="A194" s="301">
        <v>43848.708333333336</v>
      </c>
      <c r="B194" s="301">
        <v>43848.770833333336</v>
      </c>
      <c r="C194" s="301">
        <f t="shared" si="14"/>
        <v>6.25E-2</v>
      </c>
      <c r="D194" s="311">
        <v>6.25E-2</v>
      </c>
      <c r="E194" s="302">
        <v>133</v>
      </c>
      <c r="F194" s="303" t="s">
        <v>609</v>
      </c>
      <c r="G194" s="303" t="s">
        <v>646</v>
      </c>
      <c r="H194" s="304" t="s">
        <v>258</v>
      </c>
      <c r="I194" s="305">
        <v>43857</v>
      </c>
      <c r="J194" s="306"/>
      <c r="K194" s="302" t="s">
        <v>227</v>
      </c>
      <c r="L194" s="307"/>
      <c r="M194" s="308"/>
      <c r="N194" s="303" t="s">
        <v>35</v>
      </c>
      <c r="O194" s="302">
        <v>290</v>
      </c>
      <c r="P194" s="302" t="s">
        <v>228</v>
      </c>
      <c r="Q194" s="309" t="s">
        <v>229</v>
      </c>
      <c r="R194" s="310">
        <v>180</v>
      </c>
      <c r="S194" s="310">
        <v>990</v>
      </c>
      <c r="T194" s="306" t="s">
        <v>232</v>
      </c>
      <c r="U194" s="310" t="s">
        <v>36</v>
      </c>
      <c r="V194" s="247" t="str">
        <f>VLOOKUP(E194,Лист4!A$2:G$499,7)</f>
        <v>картон от 270</v>
      </c>
      <c r="W194" s="247">
        <f>IF(ISNA(V194),VLOOKUP(E194,категория!A$16:C$41,3,),11.12+R194*8.333/VLOOKUP(V194,категория!A$16:C$41,2,))</f>
        <v>11.953299999999999</v>
      </c>
    </row>
    <row r="195" spans="1:23" ht="15.75">
      <c r="A195" s="301">
        <v>43848.770833333336</v>
      </c>
      <c r="B195" s="301">
        <v>43848.833333333336</v>
      </c>
      <c r="C195" s="301">
        <f t="shared" si="14"/>
        <v>6.25E-2</v>
      </c>
      <c r="D195" s="311">
        <v>0.5</v>
      </c>
      <c r="E195" s="329" t="s">
        <v>10</v>
      </c>
      <c r="F195" s="330"/>
      <c r="G195" s="330"/>
      <c r="H195" s="330"/>
      <c r="I195" s="330"/>
      <c r="J195" s="330"/>
      <c r="K195" s="330"/>
      <c r="L195" s="330"/>
      <c r="M195" s="330"/>
      <c r="N195" s="330"/>
      <c r="O195" s="330"/>
      <c r="P195" s="330"/>
      <c r="Q195" s="330"/>
      <c r="R195" s="330"/>
      <c r="S195" s="330"/>
      <c r="T195" s="330"/>
      <c r="U195" s="331"/>
      <c r="V195" s="247" t="e">
        <f>VLOOKUP(E195,Лист4!A$2:G$499,7)</f>
        <v>#N/A</v>
      </c>
      <c r="W195" s="247">
        <f>IF(ISNA(V195),VLOOKUP(E195,категория!A$16:C$41,3,),11.12+R195*8.333/VLOOKUP(V195,категория!A$16:C$41,2,))</f>
        <v>8.3332999999999995</v>
      </c>
    </row>
    <row r="196" spans="1:23" ht="15.75">
      <c r="A196" s="312">
        <v>43848.833333333336</v>
      </c>
      <c r="B196" s="332" t="s">
        <v>647</v>
      </c>
      <c r="C196" s="333"/>
      <c r="D196" s="334"/>
      <c r="E196" s="334"/>
      <c r="F196" s="334"/>
      <c r="G196" s="334"/>
      <c r="H196" s="334"/>
      <c r="I196" s="334"/>
      <c r="J196" s="334"/>
      <c r="K196" s="334"/>
      <c r="L196" s="334"/>
      <c r="M196" s="334"/>
      <c r="N196" s="334"/>
      <c r="O196" s="334"/>
      <c r="P196" s="334"/>
      <c r="Q196" s="334"/>
      <c r="R196" s="334"/>
      <c r="S196" s="334"/>
      <c r="T196" s="334"/>
      <c r="U196" s="335"/>
      <c r="V196" s="247" t="e">
        <f>VLOOKUP(E196,Лист4!A$2:G$499,7)</f>
        <v>#N/A</v>
      </c>
      <c r="W196" s="52">
        <f>SUM(W185:W195)</f>
        <v>95.901409999999998</v>
      </c>
    </row>
    <row r="197" spans="1:23" ht="15.75">
      <c r="A197" s="301">
        <v>43848.833333333336</v>
      </c>
      <c r="B197" s="301">
        <v>43848.902777777781</v>
      </c>
      <c r="C197" s="301">
        <f>B197-A197</f>
        <v>6.9444444445252884E-2</v>
      </c>
      <c r="D197" s="311">
        <v>0.5</v>
      </c>
      <c r="E197" s="329" t="s">
        <v>10</v>
      </c>
      <c r="F197" s="330"/>
      <c r="G197" s="330"/>
      <c r="H197" s="330"/>
      <c r="I197" s="330"/>
      <c r="J197" s="330"/>
      <c r="K197" s="330"/>
      <c r="L197" s="330"/>
      <c r="M197" s="330"/>
      <c r="N197" s="330"/>
      <c r="O197" s="330"/>
      <c r="P197" s="330"/>
      <c r="Q197" s="330"/>
      <c r="R197" s="330"/>
      <c r="S197" s="330"/>
      <c r="T197" s="330"/>
      <c r="U197" s="331"/>
      <c r="V197" s="247" t="e">
        <f>VLOOKUP(E197,Лист4!A$2:G$499,7)</f>
        <v>#N/A</v>
      </c>
      <c r="W197" s="247">
        <f>IF(ISNA(V197),VLOOKUP(E197,категория!A$16:C$41,3,),11.12+R197*8.333/VLOOKUP(V197,категория!A$16:C$41,2,))*1.6667</f>
        <v>13.88911111</v>
      </c>
    </row>
    <row r="198" spans="1:23" ht="48">
      <c r="A198" s="301">
        <v>43848.902777777781</v>
      </c>
      <c r="B198" s="301">
        <v>43848.923611111109</v>
      </c>
      <c r="C198" s="301">
        <f t="shared" ref="C198:C202" si="15">B198-A198</f>
        <v>2.0833333328482695E-2</v>
      </c>
      <c r="D198" s="311">
        <v>2.0833333333333332E-2</v>
      </c>
      <c r="E198" s="302">
        <v>133</v>
      </c>
      <c r="F198" s="303" t="s">
        <v>609</v>
      </c>
      <c r="G198" s="303" t="s">
        <v>646</v>
      </c>
      <c r="H198" s="304" t="s">
        <v>259</v>
      </c>
      <c r="I198" s="305">
        <v>43857</v>
      </c>
      <c r="J198" s="306"/>
      <c r="K198" s="302" t="s">
        <v>227</v>
      </c>
      <c r="L198" s="307"/>
      <c r="M198" s="308"/>
      <c r="N198" s="303" t="s">
        <v>35</v>
      </c>
      <c r="O198" s="302">
        <v>290</v>
      </c>
      <c r="P198" s="302" t="s">
        <v>228</v>
      </c>
      <c r="Q198" s="309" t="s">
        <v>229</v>
      </c>
      <c r="R198" s="310">
        <v>970</v>
      </c>
      <c r="S198" s="310">
        <v>330</v>
      </c>
      <c r="T198" s="306" t="s">
        <v>232</v>
      </c>
      <c r="U198" s="310" t="s">
        <v>593</v>
      </c>
      <c r="V198" s="247" t="str">
        <f>VLOOKUP(E198,Лист4!A$2:G$499,7)</f>
        <v>картон от 270</v>
      </c>
      <c r="W198" s="247">
        <f>IF(ISNA(V198),VLOOKUP(E198,категория!A$16:C$41,3,),R198*8.333/VLOOKUP(V198,категория!A$16:C$41,2,))</f>
        <v>4.490561111111111</v>
      </c>
    </row>
    <row r="199" spans="1:23" ht="15.75">
      <c r="A199" s="301">
        <v>43848.923611111109</v>
      </c>
      <c r="B199" s="301">
        <v>43848.930555555555</v>
      </c>
      <c r="C199" s="301">
        <f t="shared" si="15"/>
        <v>6.9444444452528842E-3</v>
      </c>
      <c r="D199" s="311">
        <v>2.0833333333333332E-2</v>
      </c>
      <c r="E199" s="329" t="s">
        <v>2</v>
      </c>
      <c r="F199" s="330"/>
      <c r="G199" s="330"/>
      <c r="H199" s="330"/>
      <c r="I199" s="330"/>
      <c r="J199" s="330"/>
      <c r="K199" s="330"/>
      <c r="L199" s="330"/>
      <c r="M199" s="330"/>
      <c r="N199" s="330"/>
      <c r="O199" s="330"/>
      <c r="P199" s="330"/>
      <c r="Q199" s="330"/>
      <c r="R199" s="330"/>
      <c r="S199" s="330"/>
      <c r="T199" s="330"/>
      <c r="U199" s="331"/>
      <c r="V199" s="247" t="e">
        <f>VLOOKUP(E199,Лист4!A$2:G$499,7)</f>
        <v>#N/A</v>
      </c>
      <c r="W199" s="247">
        <f>IF(ISNA(V199),VLOOKUP(E199,категория!A$16:C$41,3,),11.12+R199*8.333/VLOOKUP(V199,категория!A$16:C$41,2,))</f>
        <v>4.17</v>
      </c>
    </row>
    <row r="200" spans="1:23" ht="72">
      <c r="A200" s="301">
        <v>43848.930555555555</v>
      </c>
      <c r="B200" s="301">
        <v>43849.020833333336</v>
      </c>
      <c r="C200" s="301">
        <f t="shared" si="15"/>
        <v>9.0277777781011537E-2</v>
      </c>
      <c r="D200" s="311">
        <v>9.0277777777777776E-2</v>
      </c>
      <c r="E200" s="302">
        <v>134</v>
      </c>
      <c r="F200" s="303" t="s">
        <v>609</v>
      </c>
      <c r="G200" s="303" t="s">
        <v>648</v>
      </c>
      <c r="H200" s="304" t="s">
        <v>226</v>
      </c>
      <c r="I200" s="305">
        <v>43857</v>
      </c>
      <c r="J200" s="306"/>
      <c r="K200" s="302" t="s">
        <v>227</v>
      </c>
      <c r="L200" s="307"/>
      <c r="M200" s="308"/>
      <c r="N200" s="303" t="s">
        <v>35</v>
      </c>
      <c r="O200" s="302">
        <v>290</v>
      </c>
      <c r="P200" s="302" t="s">
        <v>228</v>
      </c>
      <c r="Q200" s="309" t="s">
        <v>229</v>
      </c>
      <c r="R200" s="310">
        <v>3200</v>
      </c>
      <c r="S200" s="310">
        <v>3430</v>
      </c>
      <c r="T200" s="306" t="s">
        <v>232</v>
      </c>
      <c r="U200" s="310" t="s">
        <v>593</v>
      </c>
      <c r="V200" s="247" t="str">
        <f>VLOOKUP(E200,Лист4!A$2:G$499,7)</f>
        <v>картон от 270</v>
      </c>
      <c r="W200" s="247">
        <f>IF(ISNA(V200),VLOOKUP(E200,категория!A$16:C$41,3,),11.12+R200*8.333/VLOOKUP(V200,категория!A$16:C$41,2,))</f>
        <v>25.934222222222225</v>
      </c>
    </row>
    <row r="201" spans="1:23" ht="15.75">
      <c r="A201" s="301">
        <v>43849.020833333336</v>
      </c>
      <c r="B201" s="301">
        <v>43849.041666666664</v>
      </c>
      <c r="C201" s="301">
        <f t="shared" si="15"/>
        <v>2.0833333328482695E-2</v>
      </c>
      <c r="D201" s="311">
        <v>2.0833333333333332E-2</v>
      </c>
      <c r="E201" s="329" t="s">
        <v>2</v>
      </c>
      <c r="F201" s="330"/>
      <c r="G201" s="330"/>
      <c r="H201" s="330"/>
      <c r="I201" s="330"/>
      <c r="J201" s="330"/>
      <c r="K201" s="330"/>
      <c r="L201" s="330"/>
      <c r="M201" s="330"/>
      <c r="N201" s="330"/>
      <c r="O201" s="330"/>
      <c r="P201" s="330"/>
      <c r="Q201" s="330"/>
      <c r="R201" s="330"/>
      <c r="S201" s="330"/>
      <c r="T201" s="330"/>
      <c r="U201" s="331"/>
      <c r="V201" s="247" t="e">
        <f>VLOOKUP(E201,Лист4!A$2:G$499,7)</f>
        <v>#N/A</v>
      </c>
      <c r="W201" s="247">
        <f>IF(ISNA(V201),VLOOKUP(E201,категория!A$16:C$41,3,),11.12+R201*8.333/VLOOKUP(V201,категория!A$16:C$41,2,))</f>
        <v>4.17</v>
      </c>
    </row>
    <row r="202" spans="1:23" ht="15.75">
      <c r="A202" s="301">
        <v>43849.041666666664</v>
      </c>
      <c r="B202" s="301">
        <v>43849.333333333336</v>
      </c>
      <c r="C202" s="301">
        <f t="shared" si="15"/>
        <v>0.29166666667151731</v>
      </c>
      <c r="D202" s="311">
        <v>4.1666666666666664E-2</v>
      </c>
      <c r="E202" s="329" t="s">
        <v>283</v>
      </c>
      <c r="F202" s="330"/>
      <c r="G202" s="330"/>
      <c r="H202" s="330"/>
      <c r="I202" s="330"/>
      <c r="J202" s="330"/>
      <c r="K202" s="330"/>
      <c r="L202" s="330"/>
      <c r="M202" s="330"/>
      <c r="N202" s="330"/>
      <c r="O202" s="330"/>
      <c r="P202" s="330"/>
      <c r="Q202" s="330"/>
      <c r="R202" s="330"/>
      <c r="S202" s="330"/>
      <c r="T202" s="330"/>
      <c r="U202" s="331"/>
      <c r="V202" s="247" t="e">
        <f>VLOOKUP(E202,Лист4!A$2:G$499,7)</f>
        <v>#N/A</v>
      </c>
      <c r="W202" s="247">
        <f>7*8.333</f>
        <v>58.331000000000003</v>
      </c>
    </row>
    <row r="203" spans="1:23" ht="15.75">
      <c r="A203" s="312">
        <v>43849.333333333336</v>
      </c>
      <c r="B203" s="332" t="s">
        <v>383</v>
      </c>
      <c r="C203" s="333"/>
      <c r="D203" s="334"/>
      <c r="E203" s="334"/>
      <c r="F203" s="334"/>
      <c r="G203" s="334"/>
      <c r="H203" s="334"/>
      <c r="I203" s="334"/>
      <c r="J203" s="334"/>
      <c r="K203" s="334"/>
      <c r="L203" s="334"/>
      <c r="M203" s="334"/>
      <c r="N203" s="334"/>
      <c r="O203" s="334"/>
      <c r="P203" s="334"/>
      <c r="Q203" s="334"/>
      <c r="R203" s="334"/>
      <c r="S203" s="334"/>
      <c r="T203" s="334"/>
      <c r="U203" s="335"/>
      <c r="V203" s="247" t="e">
        <f>VLOOKUP(E203,Лист4!A$2:G$499,7)</f>
        <v>#N/A</v>
      </c>
      <c r="W203" s="52">
        <f>SUM(W197:W202)</f>
        <v>110.98489444333333</v>
      </c>
    </row>
    <row r="204" spans="1:23" ht="15.75">
      <c r="A204" s="312">
        <v>43849.833333333336</v>
      </c>
      <c r="B204" s="332" t="s">
        <v>384</v>
      </c>
      <c r="C204" s="333"/>
      <c r="D204" s="334"/>
      <c r="E204" s="334"/>
      <c r="F204" s="334"/>
      <c r="G204" s="334"/>
      <c r="H204" s="334"/>
      <c r="I204" s="334"/>
      <c r="J204" s="334"/>
      <c r="K204" s="334"/>
      <c r="L204" s="334"/>
      <c r="M204" s="334"/>
      <c r="N204" s="334"/>
      <c r="O204" s="334"/>
      <c r="P204" s="334"/>
      <c r="Q204" s="334"/>
      <c r="R204" s="334"/>
      <c r="S204" s="334"/>
      <c r="T204" s="334"/>
      <c r="U204" s="335"/>
      <c r="V204" s="247" t="e">
        <f>VLOOKUP(E204,Лист4!A$2:G$499,7)</f>
        <v>#N/A</v>
      </c>
      <c r="W204" s="247" t="e">
        <f>IF(ISNA(V204),VLOOKUP(E204,категория!A$16:C$41,3,),11.12+R204*8.333/VLOOKUP(V204,категория!A$16:C$41,2,))</f>
        <v>#N/A</v>
      </c>
    </row>
    <row r="205" spans="1:23" ht="15.75">
      <c r="A205" s="312">
        <v>43850.333333333336</v>
      </c>
      <c r="B205" s="332" t="s">
        <v>649</v>
      </c>
      <c r="C205" s="333"/>
      <c r="D205" s="334"/>
      <c r="E205" s="334"/>
      <c r="F205" s="334"/>
      <c r="G205" s="334"/>
      <c r="H205" s="334"/>
      <c r="I205" s="334"/>
      <c r="J205" s="334"/>
      <c r="K205" s="334"/>
      <c r="L205" s="334"/>
      <c r="M205" s="334"/>
      <c r="N205" s="334"/>
      <c r="O205" s="334"/>
      <c r="P205" s="334"/>
      <c r="Q205" s="334"/>
      <c r="R205" s="334"/>
      <c r="S205" s="334"/>
      <c r="T205" s="334"/>
      <c r="U205" s="335"/>
      <c r="V205" s="247" t="e">
        <f>VLOOKUP(E205,Лист4!A$2:G$499,7)</f>
        <v>#N/A</v>
      </c>
      <c r="W205" s="247" t="e">
        <f>IF(ISNA(V205),VLOOKUP(E205,категория!A$16:C$41,3,),11.12+R205*8.333/VLOOKUP(V205,категория!A$16:C$41,2,))</f>
        <v>#N/A</v>
      </c>
    </row>
    <row r="206" spans="1:23" ht="15.75">
      <c r="A206" s="301">
        <v>43850.333333333336</v>
      </c>
      <c r="B206" s="301">
        <v>43850.833333333336</v>
      </c>
      <c r="C206" s="301"/>
      <c r="D206" s="311">
        <v>0.5</v>
      </c>
      <c r="E206" s="329" t="s">
        <v>283</v>
      </c>
      <c r="F206" s="330"/>
      <c r="G206" s="330"/>
      <c r="H206" s="330"/>
      <c r="I206" s="330"/>
      <c r="J206" s="330"/>
      <c r="K206" s="330"/>
      <c r="L206" s="330"/>
      <c r="M206" s="330"/>
      <c r="N206" s="330"/>
      <c r="O206" s="330"/>
      <c r="P206" s="330"/>
      <c r="Q206" s="330"/>
      <c r="R206" s="330"/>
      <c r="S206" s="330"/>
      <c r="T206" s="330"/>
      <c r="U206" s="331"/>
      <c r="V206" s="247" t="e">
        <f>VLOOKUP(E206,Лист4!A$2:G$499,7)</f>
        <v>#N/A</v>
      </c>
      <c r="W206" s="247">
        <v>100</v>
      </c>
    </row>
    <row r="207" spans="1:23" ht="15.75">
      <c r="A207" s="312">
        <v>43850.833333333336</v>
      </c>
      <c r="B207" s="332" t="s">
        <v>650</v>
      </c>
      <c r="C207" s="333"/>
      <c r="D207" s="334"/>
      <c r="E207" s="334"/>
      <c r="F207" s="334"/>
      <c r="G207" s="334"/>
      <c r="H207" s="334"/>
      <c r="I207" s="334"/>
      <c r="J207" s="334"/>
      <c r="K207" s="334"/>
      <c r="L207" s="334"/>
      <c r="M207" s="334"/>
      <c r="N207" s="334"/>
      <c r="O207" s="334"/>
      <c r="P207" s="334"/>
      <c r="Q207" s="334"/>
      <c r="R207" s="334"/>
      <c r="S207" s="334"/>
      <c r="T207" s="334"/>
      <c r="U207" s="335"/>
      <c r="V207" s="247" t="e">
        <f>VLOOKUP(E207,Лист4!A$2:G$499,7)</f>
        <v>#N/A</v>
      </c>
      <c r="W207" s="247" t="e">
        <f>IF(ISNA(V207),VLOOKUP(E207,категория!A$16:C$41,3,),11.12+R207*8.333/VLOOKUP(V207,категория!A$16:C$41,2,))</f>
        <v>#N/A</v>
      </c>
    </row>
    <row r="208" spans="1:23" ht="15.75">
      <c r="A208" s="301">
        <v>43850.833333333336</v>
      </c>
      <c r="B208" s="301">
        <v>43850.854166666664</v>
      </c>
      <c r="C208" s="301">
        <f>B208-A208</f>
        <v>2.0833333328482695E-2</v>
      </c>
      <c r="D208" s="311">
        <v>2.0833333333333332E-2</v>
      </c>
      <c r="E208" s="329" t="s">
        <v>22</v>
      </c>
      <c r="F208" s="330"/>
      <c r="G208" s="330"/>
      <c r="H208" s="330"/>
      <c r="I208" s="330"/>
      <c r="J208" s="330"/>
      <c r="K208" s="330"/>
      <c r="L208" s="330"/>
      <c r="M208" s="330"/>
      <c r="N208" s="330"/>
      <c r="O208" s="330"/>
      <c r="P208" s="330"/>
      <c r="Q208" s="330"/>
      <c r="R208" s="330"/>
      <c r="S208" s="330"/>
      <c r="T208" s="330"/>
      <c r="U208" s="331"/>
      <c r="V208" s="247" t="e">
        <f>VLOOKUP(E208,Лист4!A$2:G$499,7)</f>
        <v>#N/A</v>
      </c>
      <c r="W208" s="247">
        <f>IF(ISNA(V208),VLOOKUP(E208,категория!A$16:C$41,3,),11.12+R208*8.333/VLOOKUP(V208,категория!A$16:C$41,2,))</f>
        <v>4.17</v>
      </c>
    </row>
    <row r="209" spans="1:23" ht="15.75">
      <c r="A209" s="301">
        <v>43850.854166666664</v>
      </c>
      <c r="B209" s="301">
        <v>43850.888888888891</v>
      </c>
      <c r="C209" s="301">
        <f t="shared" ref="C209:C215" si="16">B209-A209</f>
        <v>3.4722222226264421E-2</v>
      </c>
      <c r="D209" s="311">
        <v>3.4722222222222224E-2</v>
      </c>
      <c r="E209" s="329" t="s">
        <v>16</v>
      </c>
      <c r="F209" s="330"/>
      <c r="G209" s="330"/>
      <c r="H209" s="330"/>
      <c r="I209" s="330"/>
      <c r="J209" s="330"/>
      <c r="K209" s="330"/>
      <c r="L209" s="330"/>
      <c r="M209" s="330"/>
      <c r="N209" s="330"/>
      <c r="O209" s="330"/>
      <c r="P209" s="330"/>
      <c r="Q209" s="330"/>
      <c r="R209" s="330"/>
      <c r="S209" s="330"/>
      <c r="T209" s="330"/>
      <c r="U209" s="331"/>
      <c r="V209" s="247" t="e">
        <f>VLOOKUP(E209,Лист4!A$2:G$499,7)</f>
        <v>#N/A</v>
      </c>
      <c r="W209" s="247">
        <f>IF(ISNA(V209),VLOOKUP(E209,категория!A$16:C$41,3,),11.12+R209*8.333/VLOOKUP(V209,категория!A$16:C$41,2,))</f>
        <v>6.94</v>
      </c>
    </row>
    <row r="210" spans="1:23" ht="15.75">
      <c r="A210" s="301">
        <v>43850.888888888891</v>
      </c>
      <c r="B210" s="301">
        <v>43850.961805555555</v>
      </c>
      <c r="C210" s="301">
        <f t="shared" si="16"/>
        <v>7.2916666664241347E-2</v>
      </c>
      <c r="D210" s="311">
        <v>4.1666666666666664E-2</v>
      </c>
      <c r="E210" s="329" t="s">
        <v>231</v>
      </c>
      <c r="F210" s="330"/>
      <c r="G210" s="330"/>
      <c r="H210" s="330"/>
      <c r="I210" s="330"/>
      <c r="J210" s="330"/>
      <c r="K210" s="330"/>
      <c r="L210" s="330"/>
      <c r="M210" s="330"/>
      <c r="N210" s="330"/>
      <c r="O210" s="330"/>
      <c r="P210" s="330"/>
      <c r="Q210" s="330"/>
      <c r="R210" s="330"/>
      <c r="S210" s="330"/>
      <c r="T210" s="330"/>
      <c r="U210" s="331"/>
      <c r="V210" s="247" t="e">
        <f>VLOOKUP(E210,Лист4!A$2:G$499,7)</f>
        <v>#N/A</v>
      </c>
      <c r="W210" s="247">
        <f>1.75*8.33</f>
        <v>14.577500000000001</v>
      </c>
    </row>
    <row r="211" spans="1:23" ht="15.75">
      <c r="A211" s="301">
        <v>43850.961805555555</v>
      </c>
      <c r="B211" s="301">
        <v>43850.982638888891</v>
      </c>
      <c r="C211" s="301">
        <f t="shared" si="16"/>
        <v>2.0833333335758653E-2</v>
      </c>
      <c r="D211" s="311">
        <v>2.0833333333333332E-2</v>
      </c>
      <c r="E211" s="329" t="s">
        <v>8</v>
      </c>
      <c r="F211" s="330"/>
      <c r="G211" s="330"/>
      <c r="H211" s="330"/>
      <c r="I211" s="330"/>
      <c r="J211" s="330"/>
      <c r="K211" s="330"/>
      <c r="L211" s="330"/>
      <c r="M211" s="330"/>
      <c r="N211" s="330"/>
      <c r="O211" s="330"/>
      <c r="P211" s="330"/>
      <c r="Q211" s="330"/>
      <c r="R211" s="330"/>
      <c r="S211" s="330"/>
      <c r="T211" s="330"/>
      <c r="U211" s="331"/>
      <c r="V211" s="247" t="e">
        <f>VLOOKUP(E211,Лист4!A$2:G$499,7)</f>
        <v>#N/A</v>
      </c>
      <c r="W211" s="247">
        <f>IF(ISNA(V211),VLOOKUP(E211,категория!A$16:C$41,3,),11.12+R211*8.333/VLOOKUP(V211,категория!A$16:C$41,2,))</f>
        <v>4.17</v>
      </c>
    </row>
    <row r="212" spans="1:23" ht="72">
      <c r="A212" s="301">
        <v>43850.982638888891</v>
      </c>
      <c r="B212" s="301">
        <v>43851.131944444445</v>
      </c>
      <c r="C212" s="301">
        <f t="shared" si="16"/>
        <v>0.14930555555474712</v>
      </c>
      <c r="D212" s="311">
        <v>0.14930555555555555</v>
      </c>
      <c r="E212" s="302">
        <v>136</v>
      </c>
      <c r="F212" s="303" t="s">
        <v>630</v>
      </c>
      <c r="G212" s="303" t="s">
        <v>651</v>
      </c>
      <c r="H212" s="304" t="s">
        <v>226</v>
      </c>
      <c r="I212" s="305">
        <v>43857</v>
      </c>
      <c r="J212" s="306"/>
      <c r="K212" s="302" t="s">
        <v>227</v>
      </c>
      <c r="L212" s="307"/>
      <c r="M212" s="308"/>
      <c r="N212" s="303" t="s">
        <v>35</v>
      </c>
      <c r="O212" s="302">
        <v>300</v>
      </c>
      <c r="P212" s="302" t="s">
        <v>236</v>
      </c>
      <c r="Q212" s="309" t="s">
        <v>229</v>
      </c>
      <c r="R212" s="310">
        <v>3210</v>
      </c>
      <c r="S212" s="310">
        <v>3380</v>
      </c>
      <c r="T212" s="306" t="s">
        <v>232</v>
      </c>
      <c r="U212" s="310" t="s">
        <v>37</v>
      </c>
      <c r="V212" s="247" t="str">
        <f>VLOOKUP(E212,Лист4!A$2:G$499,7)</f>
        <v>картон от 270</v>
      </c>
      <c r="W212" s="247">
        <f>IF(ISNA(V212),VLOOKUP(E212,категория!A$16:C$41,3,),11.12+R212*8.333/VLOOKUP(V212,категория!A$16:C$41,2,))</f>
        <v>25.980516666666666</v>
      </c>
    </row>
    <row r="213" spans="1:23" ht="15.75">
      <c r="A213" s="301">
        <v>43851.131944444445</v>
      </c>
      <c r="B213" s="301">
        <v>43851.152777777781</v>
      </c>
      <c r="C213" s="301">
        <f t="shared" si="16"/>
        <v>2.0833333335758653E-2</v>
      </c>
      <c r="D213" s="311">
        <v>2.0833333333333332E-2</v>
      </c>
      <c r="E213" s="329" t="s">
        <v>23</v>
      </c>
      <c r="F213" s="330"/>
      <c r="G213" s="330"/>
      <c r="H213" s="330"/>
      <c r="I213" s="330"/>
      <c r="J213" s="330"/>
      <c r="K213" s="330"/>
      <c r="L213" s="330"/>
      <c r="M213" s="330"/>
      <c r="N213" s="330"/>
      <c r="O213" s="330"/>
      <c r="P213" s="330"/>
      <c r="Q213" s="330"/>
      <c r="R213" s="330"/>
      <c r="S213" s="330"/>
      <c r="T213" s="330"/>
      <c r="U213" s="331"/>
      <c r="V213" s="247" t="e">
        <f>VLOOKUP(E213,Лист4!A$2:G$499,7)</f>
        <v>#N/A</v>
      </c>
      <c r="W213" s="247">
        <f>IF(ISNA(V213),VLOOKUP(E213,категория!A$16:C$41,3,),11.12+R213*8.333/VLOOKUP(V213,категория!A$16:C$41,2,))</f>
        <v>2.78</v>
      </c>
    </row>
    <row r="214" spans="1:23" ht="15.75">
      <c r="A214" s="301">
        <v>43851.152777777781</v>
      </c>
      <c r="B214" s="301">
        <v>43851.173611111109</v>
      </c>
      <c r="C214" s="301">
        <f t="shared" si="16"/>
        <v>2.0833333328482695E-2</v>
      </c>
      <c r="D214" s="311">
        <v>2.0833333333333332E-2</v>
      </c>
      <c r="E214" s="329" t="s">
        <v>2</v>
      </c>
      <c r="F214" s="330"/>
      <c r="G214" s="330"/>
      <c r="H214" s="330"/>
      <c r="I214" s="330"/>
      <c r="J214" s="330"/>
      <c r="K214" s="330"/>
      <c r="L214" s="330"/>
      <c r="M214" s="330"/>
      <c r="N214" s="330"/>
      <c r="O214" s="330"/>
      <c r="P214" s="330"/>
      <c r="Q214" s="330"/>
      <c r="R214" s="330"/>
      <c r="S214" s="330"/>
      <c r="T214" s="330"/>
      <c r="U214" s="331"/>
      <c r="V214" s="247" t="e">
        <f>VLOOKUP(E214,Лист4!A$2:G$499,7)</f>
        <v>#N/A</v>
      </c>
      <c r="W214" s="247">
        <f>IF(ISNA(V214),VLOOKUP(E214,категория!A$16:C$41,3,),11.12+R214*8.333/VLOOKUP(V214,категория!A$16:C$41,2,))</f>
        <v>4.17</v>
      </c>
    </row>
    <row r="215" spans="1:23" ht="15.75">
      <c r="A215" s="301">
        <v>43851.173611111109</v>
      </c>
      <c r="B215" s="301">
        <v>43851.333333333336</v>
      </c>
      <c r="C215" s="301">
        <f t="shared" si="16"/>
        <v>0.15972222222626442</v>
      </c>
      <c r="D215" s="311">
        <v>4.1666666666666664E-2</v>
      </c>
      <c r="E215" s="329" t="s">
        <v>283</v>
      </c>
      <c r="F215" s="330"/>
      <c r="G215" s="330"/>
      <c r="H215" s="330"/>
      <c r="I215" s="330"/>
      <c r="J215" s="330"/>
      <c r="K215" s="330"/>
      <c r="L215" s="330"/>
      <c r="M215" s="330"/>
      <c r="N215" s="330"/>
      <c r="O215" s="330"/>
      <c r="P215" s="330"/>
      <c r="Q215" s="330"/>
      <c r="R215" s="330"/>
      <c r="S215" s="330"/>
      <c r="T215" s="330"/>
      <c r="U215" s="331"/>
      <c r="V215" s="247" t="e">
        <f>VLOOKUP(E215,Лист4!A$2:G$499,7)</f>
        <v>#N/A</v>
      </c>
      <c r="W215" s="247">
        <f>3.86*8.333</f>
        <v>32.165379999999999</v>
      </c>
    </row>
    <row r="216" spans="1:23" ht="15.75">
      <c r="A216" s="312">
        <v>43851.333333333336</v>
      </c>
      <c r="B216" s="332" t="s">
        <v>652</v>
      </c>
      <c r="C216" s="333"/>
      <c r="D216" s="334"/>
      <c r="E216" s="334"/>
      <c r="F216" s="334"/>
      <c r="G216" s="334"/>
      <c r="H216" s="334"/>
      <c r="I216" s="334"/>
      <c r="J216" s="334"/>
      <c r="K216" s="334"/>
      <c r="L216" s="334"/>
      <c r="M216" s="334"/>
      <c r="N216" s="334"/>
      <c r="O216" s="334"/>
      <c r="P216" s="334"/>
      <c r="Q216" s="334"/>
      <c r="R216" s="334"/>
      <c r="S216" s="334"/>
      <c r="T216" s="334"/>
      <c r="U216" s="335"/>
      <c r="V216" s="247" t="e">
        <f>VLOOKUP(E216,Лист4!A$2:G$499,7)</f>
        <v>#N/A</v>
      </c>
      <c r="W216" s="52">
        <f>SUM(W208:W215)</f>
        <v>94.953396666666663</v>
      </c>
    </row>
    <row r="217" spans="1:23" ht="15.75">
      <c r="A217" s="301">
        <v>43851.333333333336</v>
      </c>
      <c r="B217" s="301">
        <v>43851.354166666664</v>
      </c>
      <c r="C217" s="301">
        <f>B217-A217</f>
        <v>2.0833333328482695E-2</v>
      </c>
      <c r="D217" s="311">
        <v>2.0833333333333332E-2</v>
      </c>
      <c r="E217" s="329" t="s">
        <v>22</v>
      </c>
      <c r="F217" s="330"/>
      <c r="G217" s="330"/>
      <c r="H217" s="330"/>
      <c r="I217" s="330"/>
      <c r="J217" s="330"/>
      <c r="K217" s="330"/>
      <c r="L217" s="330"/>
      <c r="M217" s="330"/>
      <c r="N217" s="330"/>
      <c r="O217" s="330"/>
      <c r="P217" s="330"/>
      <c r="Q217" s="330"/>
      <c r="R217" s="330"/>
      <c r="S217" s="330"/>
      <c r="T217" s="330"/>
      <c r="U217" s="331"/>
      <c r="V217" s="247" t="e">
        <f>VLOOKUP(E217,Лист4!A$2:G$499,7)</f>
        <v>#N/A</v>
      </c>
      <c r="W217" s="247">
        <f>IF(ISNA(V217),VLOOKUP(E217,категория!A$16:C$41,3,),11.12+R217*8.333/VLOOKUP(V217,категория!A$16:C$41,2,))</f>
        <v>4.17</v>
      </c>
    </row>
    <row r="218" spans="1:23" ht="48">
      <c r="A218" s="301">
        <v>43851.354166666664</v>
      </c>
      <c r="B218" s="301">
        <v>43851.427083333336</v>
      </c>
      <c r="C218" s="301">
        <f t="shared" ref="C218:C232" si="17">B218-A218</f>
        <v>7.2916666671517305E-2</v>
      </c>
      <c r="D218" s="311">
        <v>7.2916666666666671E-2</v>
      </c>
      <c r="E218" s="302">
        <v>157</v>
      </c>
      <c r="F218" s="303" t="s">
        <v>653</v>
      </c>
      <c r="G218" s="303" t="s">
        <v>654</v>
      </c>
      <c r="H218" s="304" t="s">
        <v>226</v>
      </c>
      <c r="I218" s="305">
        <v>43851</v>
      </c>
      <c r="J218" s="306"/>
      <c r="K218" s="302" t="s">
        <v>269</v>
      </c>
      <c r="L218" s="307"/>
      <c r="M218" s="308"/>
      <c r="N218" s="303" t="s">
        <v>351</v>
      </c>
      <c r="O218" s="302">
        <v>270</v>
      </c>
      <c r="P218" s="302" t="s">
        <v>236</v>
      </c>
      <c r="Q218" s="309" t="s">
        <v>241</v>
      </c>
      <c r="R218" s="310">
        <v>1120</v>
      </c>
      <c r="S218" s="310">
        <v>1310</v>
      </c>
      <c r="T218" s="306" t="s">
        <v>232</v>
      </c>
      <c r="U218" s="310" t="s">
        <v>36</v>
      </c>
      <c r="V218" s="247" t="str">
        <f>VLOOKUP(E218,Лист4!A$2:G$499,7)</f>
        <v>картон от 270</v>
      </c>
      <c r="W218" s="247">
        <f>IF(ISNA(V218),VLOOKUP(E218,категория!A$16:C$41,3,),11.12+R218*8.333/VLOOKUP(V218,категория!A$16:C$41,2,))</f>
        <v>16.304977777777779</v>
      </c>
    </row>
    <row r="219" spans="1:23" ht="15.75">
      <c r="A219" s="301">
        <v>43851.427083333336</v>
      </c>
      <c r="B219" s="301">
        <v>43851.461805555555</v>
      </c>
      <c r="C219" s="301">
        <f t="shared" si="17"/>
        <v>3.4722222218988463E-2</v>
      </c>
      <c r="D219" s="311">
        <v>4.1666666666666664E-2</v>
      </c>
      <c r="E219" s="329" t="s">
        <v>263</v>
      </c>
      <c r="F219" s="330"/>
      <c r="G219" s="330"/>
      <c r="H219" s="330"/>
      <c r="I219" s="330"/>
      <c r="J219" s="330"/>
      <c r="K219" s="330"/>
      <c r="L219" s="330"/>
      <c r="M219" s="330"/>
      <c r="N219" s="330"/>
      <c r="O219" s="330"/>
      <c r="P219" s="330"/>
      <c r="Q219" s="330"/>
      <c r="R219" s="330"/>
      <c r="S219" s="330"/>
      <c r="T219" s="330"/>
      <c r="U219" s="331"/>
      <c r="V219" s="247" t="e">
        <f>VLOOKUP(E219,Лист4!A$2:G$499,7)</f>
        <v>#N/A</v>
      </c>
      <c r="W219" s="247">
        <f>8.333*0.86</f>
        <v>7.1663800000000002</v>
      </c>
    </row>
    <row r="220" spans="1:23" ht="15.75">
      <c r="A220" s="301">
        <v>43851.461805555555</v>
      </c>
      <c r="B220" s="301">
        <v>43851.472222222219</v>
      </c>
      <c r="C220" s="301">
        <f t="shared" si="17"/>
        <v>1.0416666664241347E-2</v>
      </c>
      <c r="D220" s="311">
        <v>2.0833333333333332E-2</v>
      </c>
      <c r="E220" s="329" t="s">
        <v>2</v>
      </c>
      <c r="F220" s="330"/>
      <c r="G220" s="330"/>
      <c r="H220" s="330"/>
      <c r="I220" s="330"/>
      <c r="J220" s="330"/>
      <c r="K220" s="330"/>
      <c r="L220" s="330"/>
      <c r="M220" s="330"/>
      <c r="N220" s="330"/>
      <c r="O220" s="330"/>
      <c r="P220" s="330"/>
      <c r="Q220" s="330"/>
      <c r="R220" s="330"/>
      <c r="S220" s="330"/>
      <c r="T220" s="330"/>
      <c r="U220" s="331"/>
      <c r="V220" s="247" t="e">
        <f>VLOOKUP(E220,Лист4!A$2:G$499,7)</f>
        <v>#N/A</v>
      </c>
      <c r="W220" s="247">
        <f>IF(ISNA(V220),VLOOKUP(E220,категория!A$16:C$41,3,),11.12+R220*8.333/VLOOKUP(V220,категория!A$16:C$41,2,))</f>
        <v>4.17</v>
      </c>
    </row>
    <row r="221" spans="1:23" ht="48">
      <c r="A221" s="301">
        <v>43851.472222222219</v>
      </c>
      <c r="B221" s="301">
        <v>43851.604166666664</v>
      </c>
      <c r="C221" s="301">
        <f t="shared" si="17"/>
        <v>0.13194444444525288</v>
      </c>
      <c r="D221" s="311">
        <v>0.13194444444444445</v>
      </c>
      <c r="E221" s="302">
        <v>143</v>
      </c>
      <c r="F221" s="303" t="s">
        <v>655</v>
      </c>
      <c r="G221" s="303" t="s">
        <v>656</v>
      </c>
      <c r="H221" s="304" t="s">
        <v>226</v>
      </c>
      <c r="I221" s="305">
        <v>43858</v>
      </c>
      <c r="J221" s="306"/>
      <c r="K221" s="302" t="s">
        <v>227</v>
      </c>
      <c r="L221" s="307"/>
      <c r="M221" s="308"/>
      <c r="N221" s="303" t="s">
        <v>206</v>
      </c>
      <c r="O221" s="302">
        <v>235</v>
      </c>
      <c r="P221" s="302" t="s">
        <v>236</v>
      </c>
      <c r="Q221" s="309" t="s">
        <v>229</v>
      </c>
      <c r="R221" s="310">
        <v>3230</v>
      </c>
      <c r="S221" s="310">
        <v>3460</v>
      </c>
      <c r="T221" s="306" t="s">
        <v>232</v>
      </c>
      <c r="U221" s="310" t="s">
        <v>36</v>
      </c>
      <c r="V221" s="247" t="str">
        <f>VLOOKUP(E221,Лист4!A$2:G$499,7)</f>
        <v>мел+офсет</v>
      </c>
      <c r="W221" s="247">
        <f>IF(ISNA(V221),VLOOKUP(E221,категория!A$16:C$41,3,),11.12+R221*8.333/VLOOKUP(V221,категория!A$16:C$41,2,))</f>
        <v>21.886235999999997</v>
      </c>
    </row>
    <row r="222" spans="1:23" ht="15.75">
      <c r="A222" s="301">
        <v>43851.604166666664</v>
      </c>
      <c r="B222" s="301">
        <v>43851.614583333336</v>
      </c>
      <c r="C222" s="301">
        <f t="shared" si="17"/>
        <v>1.0416666671517305E-2</v>
      </c>
      <c r="D222" s="311">
        <v>1.0416666666666666E-2</v>
      </c>
      <c r="E222" s="329" t="s">
        <v>170</v>
      </c>
      <c r="F222" s="330"/>
      <c r="G222" s="330"/>
      <c r="H222" s="330"/>
      <c r="I222" s="330"/>
      <c r="J222" s="330"/>
      <c r="K222" s="330"/>
      <c r="L222" s="330"/>
      <c r="M222" s="330"/>
      <c r="N222" s="330"/>
      <c r="O222" s="330"/>
      <c r="P222" s="330"/>
      <c r="Q222" s="330"/>
      <c r="R222" s="330"/>
      <c r="S222" s="330"/>
      <c r="T222" s="330"/>
      <c r="U222" s="331"/>
      <c r="V222" s="247" t="e">
        <f>VLOOKUP(E222,Лист4!A$2:G$499,7)</f>
        <v>#N/A</v>
      </c>
      <c r="W222" s="247">
        <f>IF(ISNA(V222),VLOOKUP(E222,категория!A$16:C$41,3,),11.12+R222*8.333/VLOOKUP(V222,категория!A$16:C$41,2,))</f>
        <v>2.78</v>
      </c>
    </row>
    <row r="223" spans="1:23" ht="15.75">
      <c r="A223" s="301">
        <v>43851.614583333336</v>
      </c>
      <c r="B223" s="301">
        <v>43851.635416666664</v>
      </c>
      <c r="C223" s="301">
        <f t="shared" si="17"/>
        <v>2.0833333328482695E-2</v>
      </c>
      <c r="D223" s="311">
        <v>2.0833333333333332E-2</v>
      </c>
      <c r="E223" s="329" t="s">
        <v>23</v>
      </c>
      <c r="F223" s="330"/>
      <c r="G223" s="330"/>
      <c r="H223" s="330"/>
      <c r="I223" s="330"/>
      <c r="J223" s="330"/>
      <c r="K223" s="330"/>
      <c r="L223" s="330"/>
      <c r="M223" s="330"/>
      <c r="N223" s="330"/>
      <c r="O223" s="330"/>
      <c r="P223" s="330"/>
      <c r="Q223" s="330"/>
      <c r="R223" s="330"/>
      <c r="S223" s="330"/>
      <c r="T223" s="330"/>
      <c r="U223" s="331"/>
      <c r="V223" s="247" t="e">
        <f>VLOOKUP(E223,Лист4!A$2:G$499,7)</f>
        <v>#N/A</v>
      </c>
      <c r="W223" s="247">
        <f>IF(ISNA(V223),VLOOKUP(E223,категория!A$16:C$41,3,),11.12+R223*8.333/VLOOKUP(V223,категория!A$16:C$41,2,))</f>
        <v>2.78</v>
      </c>
    </row>
    <row r="224" spans="1:23" ht="48">
      <c r="A224" s="301">
        <v>43851.635416666664</v>
      </c>
      <c r="B224" s="301">
        <v>43851.697916666664</v>
      </c>
      <c r="C224" s="301">
        <f t="shared" si="17"/>
        <v>6.25E-2</v>
      </c>
      <c r="D224" s="311">
        <v>6.25E-2</v>
      </c>
      <c r="E224" s="302">
        <v>146</v>
      </c>
      <c r="F224" s="303" t="s">
        <v>333</v>
      </c>
      <c r="G224" s="303" t="s">
        <v>657</v>
      </c>
      <c r="H224" s="304" t="s">
        <v>226</v>
      </c>
      <c r="I224" s="305">
        <v>43857</v>
      </c>
      <c r="J224" s="306"/>
      <c r="K224" s="302" t="s">
        <v>227</v>
      </c>
      <c r="L224" s="307"/>
      <c r="M224" s="308"/>
      <c r="N224" s="303" t="s">
        <v>206</v>
      </c>
      <c r="O224" s="302">
        <v>450</v>
      </c>
      <c r="P224" s="302" t="s">
        <v>342</v>
      </c>
      <c r="Q224" s="309" t="s">
        <v>229</v>
      </c>
      <c r="R224" s="310">
        <v>626</v>
      </c>
      <c r="S224" s="310">
        <v>1056</v>
      </c>
      <c r="T224" s="306" t="s">
        <v>232</v>
      </c>
      <c r="U224" s="310" t="s">
        <v>36</v>
      </c>
      <c r="V224" s="247" t="str">
        <f>VLOOKUP(E224,Лист4!A$2:G$499,7)</f>
        <v>картон от 270</v>
      </c>
      <c r="W224" s="247">
        <f>IF(ISNA(V224),VLOOKUP(E224,категория!A$16:C$41,3,),11.12+R224*8.333/VLOOKUP(V224,категория!A$16:C$41,2,))</f>
        <v>14.018032222222221</v>
      </c>
    </row>
    <row r="225" spans="1:23" ht="15.75">
      <c r="A225" s="301">
        <v>43851.697916666664</v>
      </c>
      <c r="B225" s="301">
        <v>43851.708333333336</v>
      </c>
      <c r="C225" s="301">
        <f t="shared" si="17"/>
        <v>1.0416666671517305E-2</v>
      </c>
      <c r="D225" s="311">
        <v>2.0833333333333332E-2</v>
      </c>
      <c r="E225" s="329" t="s">
        <v>2</v>
      </c>
      <c r="F225" s="330"/>
      <c r="G225" s="330"/>
      <c r="H225" s="330"/>
      <c r="I225" s="330"/>
      <c r="J225" s="330"/>
      <c r="K225" s="330"/>
      <c r="L225" s="330"/>
      <c r="M225" s="330"/>
      <c r="N225" s="330"/>
      <c r="O225" s="330"/>
      <c r="P225" s="330"/>
      <c r="Q225" s="330"/>
      <c r="R225" s="330"/>
      <c r="S225" s="330"/>
      <c r="T225" s="330"/>
      <c r="U225" s="331"/>
      <c r="V225" s="247" t="e">
        <f>VLOOKUP(E225,Лист4!A$2:G$499,7)</f>
        <v>#N/A</v>
      </c>
      <c r="W225" s="247">
        <f>IF(ISNA(V225),VLOOKUP(E225,категория!A$16:C$41,3,),11.12+R225*8.333/VLOOKUP(V225,категория!A$16:C$41,2,))</f>
        <v>4.17</v>
      </c>
    </row>
    <row r="226" spans="1:23" ht="15.75">
      <c r="A226" s="301">
        <v>43851.708333333336</v>
      </c>
      <c r="B226" s="301">
        <v>43851.729166666664</v>
      </c>
      <c r="C226" s="301">
        <f t="shared" si="17"/>
        <v>2.0833333328482695E-2</v>
      </c>
      <c r="D226" s="311">
        <v>1.7361111111111112E-2</v>
      </c>
      <c r="E226" s="329" t="s">
        <v>3</v>
      </c>
      <c r="F226" s="330"/>
      <c r="G226" s="330"/>
      <c r="H226" s="330"/>
      <c r="I226" s="330"/>
      <c r="J226" s="330"/>
      <c r="K226" s="330"/>
      <c r="L226" s="330"/>
      <c r="M226" s="330"/>
      <c r="N226" s="330"/>
      <c r="O226" s="330"/>
      <c r="P226" s="330"/>
      <c r="Q226" s="330"/>
      <c r="R226" s="330"/>
      <c r="S226" s="330"/>
      <c r="T226" s="330"/>
      <c r="U226" s="331"/>
      <c r="V226" s="247" t="e">
        <f>VLOOKUP(E226,Лист4!A$2:G$499,7)</f>
        <v>#N/A</v>
      </c>
      <c r="W226" s="247">
        <f>IF(ISNA(V226),VLOOKUP(E226,категория!A$16:C$41,3,),11.12+R226*8.333/VLOOKUP(V226,категория!A$16:C$41,2,))</f>
        <v>3.48</v>
      </c>
    </row>
    <row r="227" spans="1:23" ht="15.75">
      <c r="A227" s="301">
        <v>43851.729166666664</v>
      </c>
      <c r="B227" s="301">
        <v>43851.75</v>
      </c>
      <c r="C227" s="301">
        <f t="shared" si="17"/>
        <v>2.0833333335758653E-2</v>
      </c>
      <c r="D227" s="311">
        <v>2.0833333333333332E-2</v>
      </c>
      <c r="E227" s="329" t="s">
        <v>8</v>
      </c>
      <c r="F227" s="330"/>
      <c r="G227" s="330"/>
      <c r="H227" s="330"/>
      <c r="I227" s="330"/>
      <c r="J227" s="330"/>
      <c r="K227" s="330"/>
      <c r="L227" s="330"/>
      <c r="M227" s="330"/>
      <c r="N227" s="330"/>
      <c r="O227" s="330"/>
      <c r="P227" s="330"/>
      <c r="Q227" s="330"/>
      <c r="R227" s="330"/>
      <c r="S227" s="330"/>
      <c r="T227" s="330"/>
      <c r="U227" s="331"/>
      <c r="V227" s="247" t="e">
        <f>VLOOKUP(E227,Лист4!A$2:G$499,7)</f>
        <v>#N/A</v>
      </c>
      <c r="W227" s="247">
        <f>IF(ISNA(V227),VLOOKUP(E227,категория!A$16:C$41,3,),11.12+R227*8.333/VLOOKUP(V227,категория!A$16:C$41,2,))</f>
        <v>4.17</v>
      </c>
    </row>
    <row r="228" spans="1:23" ht="15.75">
      <c r="A228" s="301">
        <v>43851.75</v>
      </c>
      <c r="B228" s="301">
        <v>43851.777777777781</v>
      </c>
      <c r="C228" s="301">
        <f t="shared" si="17"/>
        <v>2.7777777781011537E-2</v>
      </c>
      <c r="D228" s="311">
        <v>3.472222222222222E-3</v>
      </c>
      <c r="E228" s="329" t="s">
        <v>24</v>
      </c>
      <c r="F228" s="330"/>
      <c r="G228" s="330"/>
      <c r="H228" s="330"/>
      <c r="I228" s="330"/>
      <c r="J228" s="330"/>
      <c r="K228" s="330"/>
      <c r="L228" s="330"/>
      <c r="M228" s="330"/>
      <c r="N228" s="330"/>
      <c r="O228" s="330"/>
      <c r="P228" s="330"/>
      <c r="Q228" s="330"/>
      <c r="R228" s="330"/>
      <c r="S228" s="330"/>
      <c r="T228" s="330"/>
      <c r="U228" s="331"/>
      <c r="V228" s="247" t="e">
        <f>VLOOKUP(E228,Лист4!A$2:G$499,7)</f>
        <v>#N/A</v>
      </c>
      <c r="W228" s="247">
        <f>IF(ISNA(V228),VLOOKUP(E228,категория!A$16:C$41,3,),11.12+R228*8.333/VLOOKUP(V228,категория!A$16:C$41,2,))</f>
        <v>5.56</v>
      </c>
    </row>
    <row r="229" spans="1:23" ht="48">
      <c r="A229" s="301">
        <v>43851.777777777781</v>
      </c>
      <c r="B229" s="301">
        <v>43851.798611111109</v>
      </c>
      <c r="C229" s="301">
        <f t="shared" si="17"/>
        <v>2.0833333328482695E-2</v>
      </c>
      <c r="D229" s="311">
        <v>2.0833333333333332E-2</v>
      </c>
      <c r="E229" s="302">
        <v>146</v>
      </c>
      <c r="F229" s="303" t="s">
        <v>333</v>
      </c>
      <c r="G229" s="303" t="s">
        <v>657</v>
      </c>
      <c r="H229" s="304" t="s">
        <v>273</v>
      </c>
      <c r="I229" s="305">
        <v>43857</v>
      </c>
      <c r="J229" s="306"/>
      <c r="K229" s="302" t="s">
        <v>256</v>
      </c>
      <c r="L229" s="307" t="s">
        <v>232</v>
      </c>
      <c r="M229" s="308"/>
      <c r="N229" s="303" t="s">
        <v>206</v>
      </c>
      <c r="O229" s="302">
        <v>450</v>
      </c>
      <c r="P229" s="302" t="s">
        <v>342</v>
      </c>
      <c r="Q229" s="309" t="s">
        <v>241</v>
      </c>
      <c r="R229" s="310">
        <v>1050</v>
      </c>
      <c r="S229" s="310">
        <v>818</v>
      </c>
      <c r="T229" s="306" t="s">
        <v>232</v>
      </c>
      <c r="U229" s="310" t="s">
        <v>36</v>
      </c>
      <c r="V229" s="247" t="str">
        <f>VLOOKUP(E229,Лист4!A$2:G$499,7)</f>
        <v>картон от 270</v>
      </c>
      <c r="W229" s="247">
        <f>IF(ISNA(V229),VLOOKUP(E229,категория!A$16:C$41,3,),11.12/4+R229*8.333/VLOOKUP(V229,категория!A$16:C$41,2,))</f>
        <v>7.6409166666666657</v>
      </c>
    </row>
    <row r="230" spans="1:23" ht="15.75">
      <c r="A230" s="301">
        <v>43851.798611111109</v>
      </c>
      <c r="B230" s="301">
        <v>43851.805555555555</v>
      </c>
      <c r="C230" s="301">
        <f t="shared" si="17"/>
        <v>6.9444444452528842E-3</v>
      </c>
      <c r="D230" s="311">
        <v>2.0833333333333332E-2</v>
      </c>
      <c r="E230" s="329" t="s">
        <v>2</v>
      </c>
      <c r="F230" s="330"/>
      <c r="G230" s="330"/>
      <c r="H230" s="330"/>
      <c r="I230" s="330"/>
      <c r="J230" s="330"/>
      <c r="K230" s="330"/>
      <c r="L230" s="330"/>
      <c r="M230" s="330"/>
      <c r="N230" s="330"/>
      <c r="O230" s="330"/>
      <c r="P230" s="330"/>
      <c r="Q230" s="330"/>
      <c r="R230" s="330"/>
      <c r="S230" s="330"/>
      <c r="T230" s="330"/>
      <c r="U230" s="331"/>
      <c r="V230" s="247" t="e">
        <f>VLOOKUP(E230,Лист4!A$2:G$499,7)</f>
        <v>#N/A</v>
      </c>
      <c r="W230" s="247">
        <f>IF(ISNA(V230),VLOOKUP(E230,категория!A$16:C$41,3,),11.12+R230*8.333/VLOOKUP(V230,категория!A$16:C$41,2,))</f>
        <v>4.17</v>
      </c>
    </row>
    <row r="231" spans="1:23" ht="15.75">
      <c r="A231" s="301">
        <v>43851.805555555555</v>
      </c>
      <c r="B231" s="301">
        <v>43851.819444444445</v>
      </c>
      <c r="C231" s="301">
        <f t="shared" si="17"/>
        <v>1.3888888890505768E-2</v>
      </c>
      <c r="D231" s="311">
        <v>1.7361111111111112E-2</v>
      </c>
      <c r="E231" s="329" t="s">
        <v>3</v>
      </c>
      <c r="F231" s="330"/>
      <c r="G231" s="330"/>
      <c r="H231" s="330"/>
      <c r="I231" s="330"/>
      <c r="J231" s="330"/>
      <c r="K231" s="330"/>
      <c r="L231" s="330"/>
      <c r="M231" s="330"/>
      <c r="N231" s="330"/>
      <c r="O231" s="330"/>
      <c r="P231" s="330"/>
      <c r="Q231" s="330"/>
      <c r="R231" s="330"/>
      <c r="S231" s="330"/>
      <c r="T231" s="330"/>
      <c r="U231" s="331"/>
      <c r="V231" s="247" t="e">
        <f>VLOOKUP(E231,Лист4!A$2:G$499,7)</f>
        <v>#N/A</v>
      </c>
      <c r="W231" s="247">
        <f>IF(ISNA(V231),VLOOKUP(E231,категория!A$16:C$41,3,),11.12+R231*8.333/VLOOKUP(V231,категория!A$16:C$41,2,))</f>
        <v>3.48</v>
      </c>
    </row>
    <row r="232" spans="1:23" ht="15.75">
      <c r="A232" s="301">
        <v>43851.819444444445</v>
      </c>
      <c r="B232" s="301">
        <v>43851.833333333336</v>
      </c>
      <c r="C232" s="301">
        <f t="shared" si="17"/>
        <v>1.3888888890505768E-2</v>
      </c>
      <c r="D232" s="311">
        <v>2.0833333333333332E-2</v>
      </c>
      <c r="E232" s="329" t="s">
        <v>22</v>
      </c>
      <c r="F232" s="330"/>
      <c r="G232" s="330"/>
      <c r="H232" s="330"/>
      <c r="I232" s="330"/>
      <c r="J232" s="330"/>
      <c r="K232" s="330"/>
      <c r="L232" s="330"/>
      <c r="M232" s="330"/>
      <c r="N232" s="330"/>
      <c r="O232" s="330"/>
      <c r="P232" s="330"/>
      <c r="Q232" s="330"/>
      <c r="R232" s="330"/>
      <c r="S232" s="330"/>
      <c r="T232" s="330"/>
      <c r="U232" s="331"/>
      <c r="V232" s="247" t="e">
        <f>VLOOKUP(E232,Лист4!A$2:G$499,7)</f>
        <v>#N/A</v>
      </c>
      <c r="W232" s="247">
        <f>IF(ISNA(V232),VLOOKUP(E232,категория!A$16:C$41,3,),11.12+R232*8.333/VLOOKUP(V232,категория!A$16:C$41,2,))</f>
        <v>4.17</v>
      </c>
    </row>
    <row r="233" spans="1:23" ht="15.75">
      <c r="A233" s="312">
        <v>43851.833333333336</v>
      </c>
      <c r="B233" s="332" t="s">
        <v>658</v>
      </c>
      <c r="C233" s="333"/>
      <c r="D233" s="334"/>
      <c r="E233" s="334"/>
      <c r="F233" s="334"/>
      <c r="G233" s="334"/>
      <c r="H233" s="334"/>
      <c r="I233" s="334"/>
      <c r="J233" s="334"/>
      <c r="K233" s="334"/>
      <c r="L233" s="334"/>
      <c r="M233" s="334"/>
      <c r="N233" s="334"/>
      <c r="O233" s="334"/>
      <c r="P233" s="334"/>
      <c r="Q233" s="334"/>
      <c r="R233" s="334"/>
      <c r="S233" s="334"/>
      <c r="T233" s="334"/>
      <c r="U233" s="335"/>
      <c r="V233" s="247" t="e">
        <f>VLOOKUP(E233,Лист4!A$2:G$499,7)</f>
        <v>#N/A</v>
      </c>
      <c r="W233" s="52">
        <f>SUM(W217:W232)</f>
        <v>110.11654266666669</v>
      </c>
    </row>
    <row r="234" spans="1:23" ht="15.75">
      <c r="A234" s="301">
        <v>43851.833333333336</v>
      </c>
      <c r="B234" s="301">
        <v>43851.854166666664</v>
      </c>
      <c r="C234" s="301">
        <f>B234-A234</f>
        <v>2.0833333328482695E-2</v>
      </c>
      <c r="D234" s="311">
        <v>2.0833333333333332E-2</v>
      </c>
      <c r="E234" s="329" t="s">
        <v>22</v>
      </c>
      <c r="F234" s="330"/>
      <c r="G234" s="330"/>
      <c r="H234" s="330"/>
      <c r="I234" s="330"/>
      <c r="J234" s="330"/>
      <c r="K234" s="330"/>
      <c r="L234" s="330"/>
      <c r="M234" s="330"/>
      <c r="N234" s="330"/>
      <c r="O234" s="330"/>
      <c r="P234" s="330"/>
      <c r="Q234" s="330"/>
      <c r="R234" s="330"/>
      <c r="S234" s="330"/>
      <c r="T234" s="330"/>
      <c r="U234" s="331"/>
      <c r="V234" s="247" t="e">
        <f>VLOOKUP(E234,Лист4!A$2:G$499,7)</f>
        <v>#N/A</v>
      </c>
      <c r="W234" s="247">
        <f>IF(ISNA(V234),VLOOKUP(E234,категория!A$16:C$41,3,),11.12+R234*8.333/VLOOKUP(V234,категория!A$16:C$41,2,))</f>
        <v>4.17</v>
      </c>
    </row>
    <row r="235" spans="1:23" ht="15.75">
      <c r="A235" s="301">
        <v>43851.854166666664</v>
      </c>
      <c r="B235" s="301">
        <v>43851.875</v>
      </c>
      <c r="C235" s="301">
        <f t="shared" ref="C235:C243" si="18">B235-A235</f>
        <v>2.0833333335758653E-2</v>
      </c>
      <c r="D235" s="311">
        <v>2.0833333333333332E-2</v>
      </c>
      <c r="E235" s="329" t="s">
        <v>8</v>
      </c>
      <c r="F235" s="330"/>
      <c r="G235" s="330"/>
      <c r="H235" s="330"/>
      <c r="I235" s="330"/>
      <c r="J235" s="330"/>
      <c r="K235" s="330"/>
      <c r="L235" s="330"/>
      <c r="M235" s="330"/>
      <c r="N235" s="330"/>
      <c r="O235" s="330"/>
      <c r="P235" s="330"/>
      <c r="Q235" s="330"/>
      <c r="R235" s="330"/>
      <c r="S235" s="330"/>
      <c r="T235" s="330"/>
      <c r="U235" s="331"/>
      <c r="V235" s="247" t="e">
        <f>VLOOKUP(E235,Лист4!A$2:G$499,7)</f>
        <v>#N/A</v>
      </c>
      <c r="W235" s="247">
        <f>IF(ISNA(V235),VLOOKUP(E235,категория!A$16:C$41,3,),11.12+R235*8.333/VLOOKUP(V235,категория!A$16:C$41,2,))</f>
        <v>4.17</v>
      </c>
    </row>
    <row r="236" spans="1:23" ht="15.75">
      <c r="A236" s="301">
        <v>43851.875</v>
      </c>
      <c r="B236" s="301">
        <v>43851.895833333336</v>
      </c>
      <c r="C236" s="301">
        <f t="shared" si="18"/>
        <v>2.0833333335758653E-2</v>
      </c>
      <c r="D236" s="311">
        <v>2.0833333333333332E-2</v>
      </c>
      <c r="E236" s="329" t="s">
        <v>23</v>
      </c>
      <c r="F236" s="330"/>
      <c r="G236" s="330"/>
      <c r="H236" s="330"/>
      <c r="I236" s="330"/>
      <c r="J236" s="330"/>
      <c r="K236" s="330"/>
      <c r="L236" s="330"/>
      <c r="M236" s="330"/>
      <c r="N236" s="330"/>
      <c r="O236" s="330"/>
      <c r="P236" s="330"/>
      <c r="Q236" s="330"/>
      <c r="R236" s="330"/>
      <c r="S236" s="330"/>
      <c r="T236" s="330"/>
      <c r="U236" s="331"/>
      <c r="V236" s="247" t="e">
        <f>VLOOKUP(E236,Лист4!A$2:G$499,7)</f>
        <v>#N/A</v>
      </c>
      <c r="W236" s="247">
        <f>IF(ISNA(V236),VLOOKUP(E236,категория!A$16:C$41,3,),11.12+R236*8.333/VLOOKUP(V236,категория!A$16:C$41,2,))</f>
        <v>2.78</v>
      </c>
    </row>
    <row r="237" spans="1:23" ht="15.75">
      <c r="A237" s="301">
        <v>43851.895833333336</v>
      </c>
      <c r="B237" s="301">
        <v>43852</v>
      </c>
      <c r="C237" s="301">
        <f t="shared" si="18"/>
        <v>0.10416666666424135</v>
      </c>
      <c r="D237" s="311">
        <v>3.472222222222222E-3</v>
      </c>
      <c r="E237" s="329" t="s">
        <v>327</v>
      </c>
      <c r="F237" s="330"/>
      <c r="G237" s="330"/>
      <c r="H237" s="330"/>
      <c r="I237" s="330"/>
      <c r="J237" s="330"/>
      <c r="K237" s="330"/>
      <c r="L237" s="330"/>
      <c r="M237" s="330"/>
      <c r="N237" s="330"/>
      <c r="O237" s="330"/>
      <c r="P237" s="330"/>
      <c r="Q237" s="330"/>
      <c r="R237" s="330"/>
      <c r="S237" s="330"/>
      <c r="T237" s="330"/>
      <c r="U237" s="331"/>
      <c r="V237" s="247" t="e">
        <f>VLOOKUP(E237,Лист4!A$2:G$499,7)</f>
        <v>#N/A</v>
      </c>
      <c r="W237" s="247">
        <f>2.5*8.333</f>
        <v>20.8325</v>
      </c>
    </row>
    <row r="238" spans="1:23" ht="36">
      <c r="A238" s="301">
        <v>43852</v>
      </c>
      <c r="B238" s="301">
        <v>43852.201388888891</v>
      </c>
      <c r="C238" s="301">
        <f t="shared" si="18"/>
        <v>0.20138888889050577</v>
      </c>
      <c r="D238" s="311">
        <v>0.20138888888888887</v>
      </c>
      <c r="E238" s="302">
        <v>137</v>
      </c>
      <c r="F238" s="303" t="s">
        <v>255</v>
      </c>
      <c r="G238" s="303" t="s">
        <v>659</v>
      </c>
      <c r="H238" s="304" t="s">
        <v>226</v>
      </c>
      <c r="I238" s="305">
        <v>43860</v>
      </c>
      <c r="J238" s="306"/>
      <c r="K238" s="302" t="s">
        <v>256</v>
      </c>
      <c r="L238" s="307" t="s">
        <v>232</v>
      </c>
      <c r="M238" s="308"/>
      <c r="N238" s="303" t="s">
        <v>35</v>
      </c>
      <c r="O238" s="302">
        <v>210</v>
      </c>
      <c r="P238" s="302" t="s">
        <v>660</v>
      </c>
      <c r="Q238" s="309" t="s">
        <v>229</v>
      </c>
      <c r="R238" s="310">
        <v>10650</v>
      </c>
      <c r="S238" s="310">
        <v>10805</v>
      </c>
      <c r="T238" s="306" t="s">
        <v>232</v>
      </c>
      <c r="U238" s="310" t="s">
        <v>37</v>
      </c>
      <c r="V238" s="247" t="s">
        <v>60</v>
      </c>
      <c r="W238" s="247">
        <f>IF(ISNA(V238),VLOOKUP(E238,категория!A$16:C$41,3,),11.12/4+R238*8.333/VLOOKUP(V238,категория!A$16:C$41,2,))</f>
        <v>47.153224999999999</v>
      </c>
    </row>
    <row r="239" spans="1:23" ht="15.75">
      <c r="A239" s="301">
        <v>43852.201388888891</v>
      </c>
      <c r="B239" s="301">
        <v>43852.222222222219</v>
      </c>
      <c r="C239" s="301">
        <f t="shared" si="18"/>
        <v>2.0833333328482695E-2</v>
      </c>
      <c r="D239" s="311">
        <v>2.0833333333333332E-2</v>
      </c>
      <c r="E239" s="329" t="s">
        <v>2</v>
      </c>
      <c r="F239" s="330"/>
      <c r="G239" s="330"/>
      <c r="H239" s="330"/>
      <c r="I239" s="330"/>
      <c r="J239" s="330"/>
      <c r="K239" s="330"/>
      <c r="L239" s="330"/>
      <c r="M239" s="330"/>
      <c r="N239" s="330"/>
      <c r="O239" s="330"/>
      <c r="P239" s="330"/>
      <c r="Q239" s="330"/>
      <c r="R239" s="330"/>
      <c r="S239" s="330"/>
      <c r="T239" s="330"/>
      <c r="U239" s="331"/>
      <c r="V239" s="247" t="e">
        <f>VLOOKUP(E239,Лист4!A$2:G$499,7)</f>
        <v>#N/A</v>
      </c>
      <c r="W239" s="247">
        <f>IF(ISNA(V239),VLOOKUP(E239,категория!A$16:C$41,3,),11.12+R239*8.333/VLOOKUP(V239,категория!A$16:C$41,2,))</f>
        <v>4.17</v>
      </c>
    </row>
    <row r="240" spans="1:23" ht="15.75">
      <c r="A240" s="301">
        <v>43852.222222222219</v>
      </c>
      <c r="B240" s="301">
        <v>43852.25</v>
      </c>
      <c r="C240" s="301">
        <f t="shared" si="18"/>
        <v>2.7777777781011537E-2</v>
      </c>
      <c r="D240" s="311">
        <v>1.7361111111111112E-2</v>
      </c>
      <c r="E240" s="329" t="s">
        <v>3</v>
      </c>
      <c r="F240" s="330"/>
      <c r="G240" s="330"/>
      <c r="H240" s="330"/>
      <c r="I240" s="330"/>
      <c r="J240" s="330"/>
      <c r="K240" s="330"/>
      <c r="L240" s="330"/>
      <c r="M240" s="330"/>
      <c r="N240" s="330"/>
      <c r="O240" s="330"/>
      <c r="P240" s="330"/>
      <c r="Q240" s="330"/>
      <c r="R240" s="330"/>
      <c r="S240" s="330"/>
      <c r="T240" s="330"/>
      <c r="U240" s="331"/>
      <c r="V240" s="247" t="e">
        <f>VLOOKUP(E240,Лист4!A$2:G$499,7)</f>
        <v>#N/A</v>
      </c>
      <c r="W240" s="247">
        <f>IF(ISNA(V240),VLOOKUP(E240,категория!A$16:C$41,3,),11.12+R240*8.333/VLOOKUP(V240,категория!A$16:C$41,2,))</f>
        <v>3.48</v>
      </c>
    </row>
    <row r="241" spans="1:23" ht="15.75">
      <c r="A241" s="301">
        <v>43852.25</v>
      </c>
      <c r="B241" s="301">
        <v>43852.270833333336</v>
      </c>
      <c r="C241" s="301">
        <f t="shared" si="18"/>
        <v>2.0833333335758653E-2</v>
      </c>
      <c r="D241" s="311">
        <v>2.0833333333333332E-2</v>
      </c>
      <c r="E241" s="329" t="s">
        <v>8</v>
      </c>
      <c r="F241" s="330"/>
      <c r="G241" s="330"/>
      <c r="H241" s="330"/>
      <c r="I241" s="330"/>
      <c r="J241" s="330"/>
      <c r="K241" s="330"/>
      <c r="L241" s="330"/>
      <c r="M241" s="330"/>
      <c r="N241" s="330"/>
      <c r="O241" s="330"/>
      <c r="P241" s="330"/>
      <c r="Q241" s="330"/>
      <c r="R241" s="330"/>
      <c r="S241" s="330"/>
      <c r="T241" s="330"/>
      <c r="U241" s="331"/>
      <c r="V241" s="247" t="e">
        <f>VLOOKUP(E241,Лист4!A$2:G$499,7)</f>
        <v>#N/A</v>
      </c>
      <c r="W241" s="247">
        <f>IF(ISNA(V241),VLOOKUP(E241,категория!A$16:C$41,3,),11.12+R241*8.333/VLOOKUP(V241,категория!A$16:C$41,2,))</f>
        <v>4.17</v>
      </c>
    </row>
    <row r="242" spans="1:23" ht="48">
      <c r="A242" s="301">
        <v>43852.270833333336</v>
      </c>
      <c r="B242" s="301">
        <v>43852.322916666664</v>
      </c>
      <c r="C242" s="301">
        <f t="shared" si="18"/>
        <v>5.2083333328482695E-2</v>
      </c>
      <c r="D242" s="311">
        <v>5.2083333333333336E-2</v>
      </c>
      <c r="E242" s="302">
        <v>137</v>
      </c>
      <c r="F242" s="303" t="s">
        <v>255</v>
      </c>
      <c r="G242" s="303" t="s">
        <v>659</v>
      </c>
      <c r="H242" s="304" t="s">
        <v>292</v>
      </c>
      <c r="I242" s="305">
        <v>43860</v>
      </c>
      <c r="J242" s="306"/>
      <c r="K242" s="302" t="s">
        <v>256</v>
      </c>
      <c r="L242" s="307" t="s">
        <v>232</v>
      </c>
      <c r="M242" s="308"/>
      <c r="N242" s="303" t="s">
        <v>35</v>
      </c>
      <c r="O242" s="302"/>
      <c r="P242" s="302" t="s">
        <v>660</v>
      </c>
      <c r="Q242" s="309" t="s">
        <v>241</v>
      </c>
      <c r="R242" s="310">
        <v>2220</v>
      </c>
      <c r="S242" s="310">
        <v>3360</v>
      </c>
      <c r="T242" s="306" t="s">
        <v>232</v>
      </c>
      <c r="U242" s="310" t="s">
        <v>37</v>
      </c>
      <c r="V242" s="247" t="s">
        <v>60</v>
      </c>
      <c r="W242" s="247">
        <f>IF(ISNA(V242),VLOOKUP(E242,категория!A$16:C$41,3,),11.12/4+R242*8.333/VLOOKUP(V242,категория!A$16:C$41,2,))</f>
        <v>12.029630000000001</v>
      </c>
    </row>
    <row r="243" spans="1:23" ht="15.75">
      <c r="A243" s="301">
        <v>43852.322916666664</v>
      </c>
      <c r="B243" s="301">
        <v>43852.333333333336</v>
      </c>
      <c r="C243" s="301">
        <f t="shared" si="18"/>
        <v>1.0416666671517305E-2</v>
      </c>
      <c r="D243" s="311">
        <v>1.0416666666666666E-2</v>
      </c>
      <c r="E243" s="329" t="s">
        <v>2</v>
      </c>
      <c r="F243" s="330"/>
      <c r="G243" s="330"/>
      <c r="H243" s="330"/>
      <c r="I243" s="330"/>
      <c r="J243" s="330"/>
      <c r="K243" s="330"/>
      <c r="L243" s="330"/>
      <c r="M243" s="330"/>
      <c r="N243" s="330"/>
      <c r="O243" s="330"/>
      <c r="P243" s="330"/>
      <c r="Q243" s="330"/>
      <c r="R243" s="330"/>
      <c r="S243" s="330"/>
      <c r="T243" s="330"/>
      <c r="U243" s="331"/>
      <c r="V243" s="247" t="e">
        <f>VLOOKUP(E243,Лист4!A$2:G$499,7)</f>
        <v>#N/A</v>
      </c>
      <c r="W243" s="247">
        <f>IF(ISNA(V243),VLOOKUP(E243,категория!A$16:C$41,3,),11.12+R243*8.333/VLOOKUP(V243,категория!A$16:C$41,2,))</f>
        <v>4.17</v>
      </c>
    </row>
    <row r="244" spans="1:23" ht="15.75">
      <c r="A244" s="312">
        <v>43852.333333333336</v>
      </c>
      <c r="B244" s="332" t="s">
        <v>661</v>
      </c>
      <c r="C244" s="333"/>
      <c r="D244" s="334"/>
      <c r="E244" s="334"/>
      <c r="F244" s="334"/>
      <c r="G244" s="334"/>
      <c r="H244" s="334"/>
      <c r="I244" s="334"/>
      <c r="J244" s="334"/>
      <c r="K244" s="334"/>
      <c r="L244" s="334"/>
      <c r="M244" s="334"/>
      <c r="N244" s="334"/>
      <c r="O244" s="334"/>
      <c r="P244" s="334"/>
      <c r="Q244" s="334"/>
      <c r="R244" s="334"/>
      <c r="S244" s="334"/>
      <c r="T244" s="334"/>
      <c r="U244" s="335"/>
      <c r="V244" s="247" t="e">
        <f>VLOOKUP(E244,Лист4!A$2:G$499,7)</f>
        <v>#N/A</v>
      </c>
      <c r="W244" s="52">
        <f>SUM(W234:W243)</f>
        <v>107.12535500000001</v>
      </c>
    </row>
    <row r="245" spans="1:23" ht="15.75">
      <c r="A245" s="301">
        <v>43852.333333333336</v>
      </c>
      <c r="B245" s="301">
        <v>43852.354166666664</v>
      </c>
      <c r="C245" s="301">
        <f>B245-A245</f>
        <v>2.0833333328482695E-2</v>
      </c>
      <c r="D245" s="311">
        <v>2.0833333333333332E-2</v>
      </c>
      <c r="E245" s="329" t="s">
        <v>22</v>
      </c>
      <c r="F245" s="330"/>
      <c r="G245" s="330"/>
      <c r="H245" s="330"/>
      <c r="I245" s="330"/>
      <c r="J245" s="330"/>
      <c r="K245" s="330"/>
      <c r="L245" s="330"/>
      <c r="M245" s="330"/>
      <c r="N245" s="330"/>
      <c r="O245" s="330"/>
      <c r="P245" s="330"/>
      <c r="Q245" s="330"/>
      <c r="R245" s="330"/>
      <c r="S245" s="330"/>
      <c r="T245" s="330"/>
      <c r="U245" s="331"/>
      <c r="V245" s="247" t="e">
        <f>VLOOKUP(E245,Лист4!A$2:G$499,7)</f>
        <v>#N/A</v>
      </c>
      <c r="W245" s="247">
        <f>IF(ISNA(V245),VLOOKUP(E245,категория!A$16:C$41,3,),11.12+R245*8.333/VLOOKUP(V245,категория!A$16:C$41,2,))</f>
        <v>4.17</v>
      </c>
    </row>
    <row r="246" spans="1:23" ht="15.75">
      <c r="A246" s="301">
        <v>43852.354166666664</v>
      </c>
      <c r="B246" s="301">
        <v>43852.479166666664</v>
      </c>
      <c r="C246" s="301">
        <f t="shared" ref="C246:C256" si="19">B246-A246</f>
        <v>0.125</v>
      </c>
      <c r="D246" s="311">
        <v>0.125</v>
      </c>
      <c r="E246" s="329" t="s">
        <v>327</v>
      </c>
      <c r="F246" s="330"/>
      <c r="G246" s="330"/>
      <c r="H246" s="330"/>
      <c r="I246" s="330"/>
      <c r="J246" s="330"/>
      <c r="K246" s="330"/>
      <c r="L246" s="330"/>
      <c r="M246" s="330"/>
      <c r="N246" s="330"/>
      <c r="O246" s="330"/>
      <c r="P246" s="330"/>
      <c r="Q246" s="330"/>
      <c r="R246" s="330"/>
      <c r="S246" s="330"/>
      <c r="T246" s="330"/>
      <c r="U246" s="331"/>
      <c r="V246" s="247" t="e">
        <f>VLOOKUP(E246,Лист4!A$2:G$499,7)</f>
        <v>#N/A</v>
      </c>
      <c r="W246" s="247">
        <f>3*8.333</f>
        <v>24.999000000000002</v>
      </c>
    </row>
    <row r="247" spans="1:23" ht="48">
      <c r="A247" s="301">
        <v>43852.479166666664</v>
      </c>
      <c r="B247" s="301">
        <v>43852.583333333336</v>
      </c>
      <c r="C247" s="301">
        <f t="shared" si="19"/>
        <v>0.10416666667151731</v>
      </c>
      <c r="D247" s="311">
        <v>0.10416666666666667</v>
      </c>
      <c r="E247" s="302">
        <v>137</v>
      </c>
      <c r="F247" s="303" t="s">
        <v>255</v>
      </c>
      <c r="G247" s="303" t="s">
        <v>659</v>
      </c>
      <c r="H247" s="304" t="s">
        <v>293</v>
      </c>
      <c r="I247" s="305">
        <v>43860</v>
      </c>
      <c r="J247" s="306"/>
      <c r="K247" s="302" t="s">
        <v>256</v>
      </c>
      <c r="L247" s="307" t="s">
        <v>232</v>
      </c>
      <c r="M247" s="308"/>
      <c r="N247" s="303" t="s">
        <v>35</v>
      </c>
      <c r="O247" s="302"/>
      <c r="P247" s="302" t="s">
        <v>660</v>
      </c>
      <c r="Q247" s="309" t="s">
        <v>241</v>
      </c>
      <c r="R247" s="310">
        <v>8400</v>
      </c>
      <c r="S247" s="310">
        <v>6720</v>
      </c>
      <c r="T247" s="306" t="s">
        <v>232</v>
      </c>
      <c r="U247" s="310" t="s">
        <v>593</v>
      </c>
      <c r="V247" s="247" t="s">
        <v>60</v>
      </c>
      <c r="W247" s="247">
        <f>IF(ISNA(V247),VLOOKUP(E247,категория!A$16:C$41,3,),R247*8.333/VLOOKUP(V247,категория!A$16:C$41,2,))</f>
        <v>34.998599999999996</v>
      </c>
    </row>
    <row r="248" spans="1:23" ht="15.75">
      <c r="A248" s="301">
        <v>43852.583333333336</v>
      </c>
      <c r="B248" s="301">
        <v>43852.604166666664</v>
      </c>
      <c r="C248" s="301">
        <f t="shared" si="19"/>
        <v>2.0833333328482695E-2</v>
      </c>
      <c r="D248" s="311">
        <v>2.0833333333333332E-2</v>
      </c>
      <c r="E248" s="329" t="s">
        <v>2</v>
      </c>
      <c r="F248" s="330"/>
      <c r="G248" s="330"/>
      <c r="H248" s="330"/>
      <c r="I248" s="330"/>
      <c r="J248" s="330"/>
      <c r="K248" s="330"/>
      <c r="L248" s="330"/>
      <c r="M248" s="330"/>
      <c r="N248" s="330"/>
      <c r="O248" s="330"/>
      <c r="P248" s="330"/>
      <c r="Q248" s="330"/>
      <c r="R248" s="330"/>
      <c r="S248" s="330"/>
      <c r="T248" s="330"/>
      <c r="U248" s="331"/>
      <c r="V248" s="247" t="e">
        <f>VLOOKUP(E248,Лист4!A$2:G$499,7)</f>
        <v>#N/A</v>
      </c>
      <c r="W248" s="247">
        <f>IF(ISNA(V248),VLOOKUP(E248,категория!A$16:C$41,3,),11.12+R248*8.333/VLOOKUP(V248,категория!A$16:C$41,2,))</f>
        <v>4.17</v>
      </c>
    </row>
    <row r="249" spans="1:23" ht="15.75">
      <c r="A249" s="301">
        <v>43852.604166666664</v>
      </c>
      <c r="B249" s="301">
        <v>43852.625</v>
      </c>
      <c r="C249" s="301">
        <f t="shared" si="19"/>
        <v>2.0833333335758653E-2</v>
      </c>
      <c r="D249" s="311">
        <v>1.7361111111111112E-2</v>
      </c>
      <c r="E249" s="329" t="s">
        <v>3</v>
      </c>
      <c r="F249" s="330"/>
      <c r="G249" s="330"/>
      <c r="H249" s="330"/>
      <c r="I249" s="330"/>
      <c r="J249" s="330"/>
      <c r="K249" s="330"/>
      <c r="L249" s="330"/>
      <c r="M249" s="330"/>
      <c r="N249" s="330"/>
      <c r="O249" s="330"/>
      <c r="P249" s="330"/>
      <c r="Q249" s="330"/>
      <c r="R249" s="330"/>
      <c r="S249" s="330"/>
      <c r="T249" s="330"/>
      <c r="U249" s="331"/>
      <c r="V249" s="247" t="e">
        <f>VLOOKUP(E249,Лист4!A$2:G$499,7)</f>
        <v>#N/A</v>
      </c>
      <c r="W249" s="247">
        <f>IF(ISNA(V249),VLOOKUP(E249,категория!A$16:C$41,3,),11.12+R249*8.333/VLOOKUP(V249,категория!A$16:C$41,2,))</f>
        <v>3.48</v>
      </c>
    </row>
    <row r="250" spans="1:23" ht="15.75">
      <c r="A250" s="301">
        <v>43852.625</v>
      </c>
      <c r="B250" s="301">
        <v>43852.645833333336</v>
      </c>
      <c r="C250" s="301">
        <f t="shared" si="19"/>
        <v>2.0833333335758653E-2</v>
      </c>
      <c r="D250" s="311">
        <v>2.0833333333333332E-2</v>
      </c>
      <c r="E250" s="329" t="s">
        <v>8</v>
      </c>
      <c r="F250" s="330"/>
      <c r="G250" s="330"/>
      <c r="H250" s="330"/>
      <c r="I250" s="330"/>
      <c r="J250" s="330"/>
      <c r="K250" s="330"/>
      <c r="L250" s="330"/>
      <c r="M250" s="330"/>
      <c r="N250" s="330"/>
      <c r="O250" s="330"/>
      <c r="P250" s="330"/>
      <c r="Q250" s="330"/>
      <c r="R250" s="330"/>
      <c r="S250" s="330"/>
      <c r="T250" s="330"/>
      <c r="U250" s="331"/>
      <c r="V250" s="247" t="e">
        <f>VLOOKUP(E250,Лист4!A$2:G$499,7)</f>
        <v>#N/A</v>
      </c>
      <c r="W250" s="247">
        <f>IF(ISNA(V250),VLOOKUP(E250,категория!A$16:C$41,3,),11.12+R250*8.333/VLOOKUP(V250,категория!A$16:C$41,2,))</f>
        <v>4.17</v>
      </c>
    </row>
    <row r="251" spans="1:23" ht="36">
      <c r="A251" s="301">
        <v>43852.645833333336</v>
      </c>
      <c r="B251" s="301">
        <v>43852.694444444445</v>
      </c>
      <c r="C251" s="301">
        <f t="shared" si="19"/>
        <v>4.8611111109494232E-2</v>
      </c>
      <c r="D251" s="311">
        <v>4.8611111111111112E-2</v>
      </c>
      <c r="E251" s="302">
        <v>158</v>
      </c>
      <c r="F251" s="303" t="s">
        <v>662</v>
      </c>
      <c r="G251" s="303" t="s">
        <v>663</v>
      </c>
      <c r="H251" s="304" t="s">
        <v>226</v>
      </c>
      <c r="I251" s="305">
        <v>43857</v>
      </c>
      <c r="J251" s="306"/>
      <c r="K251" s="302" t="s">
        <v>227</v>
      </c>
      <c r="L251" s="307"/>
      <c r="M251" s="308"/>
      <c r="N251" s="303" t="s">
        <v>35</v>
      </c>
      <c r="O251" s="302">
        <v>300</v>
      </c>
      <c r="P251" s="302" t="s">
        <v>236</v>
      </c>
      <c r="Q251" s="309" t="s">
        <v>229</v>
      </c>
      <c r="R251" s="310">
        <v>60</v>
      </c>
      <c r="S251" s="310">
        <v>262</v>
      </c>
      <c r="T251" s="306"/>
      <c r="U251" s="310" t="s">
        <v>593</v>
      </c>
      <c r="V251" s="247" t="s">
        <v>60</v>
      </c>
      <c r="W251" s="247">
        <f>IF(ISNA(V251),VLOOKUP(E251,категория!A$16:C$41,3,),11.12+R251*8.333/VLOOKUP(V251,категория!A$16:C$41,2,))</f>
        <v>11.36999</v>
      </c>
    </row>
    <row r="252" spans="1:23" ht="15.75">
      <c r="A252" s="301">
        <v>43852.694444444445</v>
      </c>
      <c r="B252" s="301">
        <v>43852.701388888891</v>
      </c>
      <c r="C252" s="301">
        <f t="shared" si="19"/>
        <v>6.9444444452528842E-3</v>
      </c>
      <c r="D252" s="311">
        <v>2.0833333333333332E-2</v>
      </c>
      <c r="E252" s="329" t="s">
        <v>2</v>
      </c>
      <c r="F252" s="330"/>
      <c r="G252" s="330"/>
      <c r="H252" s="330"/>
      <c r="I252" s="330"/>
      <c r="J252" s="330"/>
      <c r="K252" s="330"/>
      <c r="L252" s="330"/>
      <c r="M252" s="330"/>
      <c r="N252" s="330"/>
      <c r="O252" s="330"/>
      <c r="P252" s="330"/>
      <c r="Q252" s="330"/>
      <c r="R252" s="330"/>
      <c r="S252" s="330"/>
      <c r="T252" s="330"/>
      <c r="U252" s="331"/>
      <c r="V252" s="247" t="e">
        <f>VLOOKUP(E252,Лист4!A$2:G$499,7)</f>
        <v>#N/A</v>
      </c>
      <c r="W252" s="247">
        <f>IF(ISNA(V252),VLOOKUP(E252,категория!A$16:C$41,3,),11.12+R252*8.333/VLOOKUP(V252,категория!A$16:C$41,2,))</f>
        <v>4.17</v>
      </c>
    </row>
    <row r="253" spans="1:23" ht="15.75">
      <c r="A253" s="301">
        <v>43852.701388888891</v>
      </c>
      <c r="B253" s="301">
        <v>43852.711805555555</v>
      </c>
      <c r="C253" s="301">
        <f t="shared" si="19"/>
        <v>1.0416666664241347E-2</v>
      </c>
      <c r="D253" s="311">
        <v>2.0833333333333332E-2</v>
      </c>
      <c r="E253" s="329" t="s">
        <v>23</v>
      </c>
      <c r="F253" s="330"/>
      <c r="G253" s="330"/>
      <c r="H253" s="330"/>
      <c r="I253" s="330"/>
      <c r="J253" s="330"/>
      <c r="K253" s="330"/>
      <c r="L253" s="330"/>
      <c r="M253" s="330"/>
      <c r="N253" s="330"/>
      <c r="O253" s="330"/>
      <c r="P253" s="330"/>
      <c r="Q253" s="330"/>
      <c r="R253" s="330"/>
      <c r="S253" s="330"/>
      <c r="T253" s="330"/>
      <c r="U253" s="331"/>
      <c r="V253" s="247" t="e">
        <f>VLOOKUP(E253,Лист4!A$2:G$499,7)</f>
        <v>#N/A</v>
      </c>
      <c r="W253" s="247">
        <f>IF(ISNA(V253),VLOOKUP(E253,категория!A$16:C$41,3,),11.12+R253*8.333/VLOOKUP(V253,категория!A$16:C$41,2,))</f>
        <v>2.78</v>
      </c>
    </row>
    <row r="254" spans="1:23" ht="72">
      <c r="A254" s="301">
        <v>43852.711805555555</v>
      </c>
      <c r="B254" s="301">
        <v>43852.8125</v>
      </c>
      <c r="C254" s="301">
        <f t="shared" si="19"/>
        <v>0.10069444444525288</v>
      </c>
      <c r="D254" s="311">
        <v>0.10069444444444443</v>
      </c>
      <c r="E254" s="302">
        <v>174</v>
      </c>
      <c r="F254" s="303" t="s">
        <v>250</v>
      </c>
      <c r="G254" s="303" t="s">
        <v>664</v>
      </c>
      <c r="H254" s="304" t="s">
        <v>258</v>
      </c>
      <c r="I254" s="305">
        <v>43858</v>
      </c>
      <c r="J254" s="306"/>
      <c r="K254" s="302" t="s">
        <v>227</v>
      </c>
      <c r="L254" s="307"/>
      <c r="M254" s="308"/>
      <c r="N254" s="303" t="s">
        <v>40</v>
      </c>
      <c r="O254" s="302">
        <v>250</v>
      </c>
      <c r="P254" s="302" t="s">
        <v>342</v>
      </c>
      <c r="Q254" s="309" t="s">
        <v>229</v>
      </c>
      <c r="R254" s="310">
        <v>2150</v>
      </c>
      <c r="S254" s="310">
        <v>5588</v>
      </c>
      <c r="T254" s="306" t="s">
        <v>232</v>
      </c>
      <c r="U254" s="310" t="s">
        <v>593</v>
      </c>
      <c r="V254" s="247" t="str">
        <f>VLOOKUP(E254,Лист4!A$2:G$499,7)</f>
        <v>картон до 250</v>
      </c>
      <c r="W254" s="247">
        <f>IF(ISNA(V254),VLOOKUP(E254,категория!A$16:C$41,3,),11.12+R254*8.333/VLOOKUP(V254,категория!A$16:C$41,2,))</f>
        <v>20.077975000000002</v>
      </c>
    </row>
    <row r="255" spans="1:23" ht="15.75">
      <c r="A255" s="301">
        <v>43852.8125</v>
      </c>
      <c r="B255" s="301">
        <v>43852.822916666664</v>
      </c>
      <c r="C255" s="301">
        <f t="shared" si="19"/>
        <v>1.0416666664241347E-2</v>
      </c>
      <c r="D255" s="311">
        <v>2.0833333333333332E-2</v>
      </c>
      <c r="E255" s="329" t="s">
        <v>2</v>
      </c>
      <c r="F255" s="330"/>
      <c r="G255" s="330"/>
      <c r="H255" s="330"/>
      <c r="I255" s="330"/>
      <c r="J255" s="330"/>
      <c r="K255" s="330"/>
      <c r="L255" s="330"/>
      <c r="M255" s="330"/>
      <c r="N255" s="330"/>
      <c r="O255" s="330"/>
      <c r="P255" s="330"/>
      <c r="Q255" s="330"/>
      <c r="R255" s="330"/>
      <c r="S255" s="330"/>
      <c r="T255" s="330"/>
      <c r="U255" s="331"/>
      <c r="V255" s="247" t="e">
        <f>VLOOKUP(E255,Лист4!A$2:G$499,7)</f>
        <v>#N/A</v>
      </c>
      <c r="W255" s="247">
        <f>IF(ISNA(V255),VLOOKUP(E255,категория!A$16:C$41,3,),11.12+R255*8.333/VLOOKUP(V255,категория!A$16:C$41,2,))</f>
        <v>4.17</v>
      </c>
    </row>
    <row r="256" spans="1:23" ht="15.75">
      <c r="A256" s="301">
        <v>43852.822916666664</v>
      </c>
      <c r="B256" s="301">
        <v>43852.833333333336</v>
      </c>
      <c r="C256" s="301">
        <f t="shared" si="19"/>
        <v>1.0416666671517305E-2</v>
      </c>
      <c r="D256" s="311">
        <v>2.0833333333333332E-2</v>
      </c>
      <c r="E256" s="329" t="s">
        <v>22</v>
      </c>
      <c r="F256" s="330"/>
      <c r="G256" s="330"/>
      <c r="H256" s="330"/>
      <c r="I256" s="330"/>
      <c r="J256" s="330"/>
      <c r="K256" s="330"/>
      <c r="L256" s="330"/>
      <c r="M256" s="330"/>
      <c r="N256" s="330"/>
      <c r="O256" s="330"/>
      <c r="P256" s="330"/>
      <c r="Q256" s="330"/>
      <c r="R256" s="330"/>
      <c r="S256" s="330"/>
      <c r="T256" s="330"/>
      <c r="U256" s="331"/>
      <c r="V256" s="247" t="e">
        <f>VLOOKUP(E256,Лист4!A$2:G$499,7)</f>
        <v>#N/A</v>
      </c>
      <c r="W256" s="247">
        <f>IF(ISNA(V256),VLOOKUP(E256,категория!A$16:C$41,3,),11.12+R256*8.333/VLOOKUP(V256,категория!A$16:C$41,2,))</f>
        <v>4.17</v>
      </c>
    </row>
    <row r="257" spans="1:23" ht="15.75">
      <c r="A257" s="312">
        <v>43852.833333333336</v>
      </c>
      <c r="B257" s="332" t="s">
        <v>665</v>
      </c>
      <c r="C257" s="333"/>
      <c r="D257" s="334"/>
      <c r="E257" s="334"/>
      <c r="F257" s="334"/>
      <c r="G257" s="334"/>
      <c r="H257" s="334"/>
      <c r="I257" s="334"/>
      <c r="J257" s="334"/>
      <c r="K257" s="334"/>
      <c r="L257" s="334"/>
      <c r="M257" s="334"/>
      <c r="N257" s="334"/>
      <c r="O257" s="334"/>
      <c r="P257" s="334"/>
      <c r="Q257" s="334"/>
      <c r="R257" s="334"/>
      <c r="S257" s="334"/>
      <c r="T257" s="334"/>
      <c r="U257" s="335"/>
      <c r="V257" s="247" t="e">
        <f>VLOOKUP(E257,Лист4!A$2:G$499,7)</f>
        <v>#N/A</v>
      </c>
      <c r="W257" s="52">
        <f>SUM(W245:W256)</f>
        <v>122.72556500000002</v>
      </c>
    </row>
    <row r="258" spans="1:23" ht="15.75">
      <c r="A258" s="301">
        <v>43852.833333333336</v>
      </c>
      <c r="B258" s="301">
        <v>43852.854166666664</v>
      </c>
      <c r="C258" s="301">
        <f>B258-A258</f>
        <v>2.0833333328482695E-2</v>
      </c>
      <c r="D258" s="311">
        <v>2.0833333333333332E-2</v>
      </c>
      <c r="E258" s="329" t="s">
        <v>22</v>
      </c>
      <c r="F258" s="330"/>
      <c r="G258" s="330"/>
      <c r="H258" s="330"/>
      <c r="I258" s="330"/>
      <c r="J258" s="330"/>
      <c r="K258" s="330"/>
      <c r="L258" s="330"/>
      <c r="M258" s="330"/>
      <c r="N258" s="330"/>
      <c r="O258" s="330"/>
      <c r="P258" s="330"/>
      <c r="Q258" s="330"/>
      <c r="R258" s="330"/>
      <c r="S258" s="330"/>
      <c r="T258" s="330"/>
      <c r="U258" s="331"/>
      <c r="V258" s="247" t="e">
        <f>VLOOKUP(E258,Лист4!A$2:G$499,7)</f>
        <v>#N/A</v>
      </c>
      <c r="W258" s="247">
        <f>IF(ISNA(V258),VLOOKUP(E258,категория!A$16:C$41,3,),11.12+R258*8.333/VLOOKUP(V258,категория!A$16:C$41,2,))</f>
        <v>4.17</v>
      </c>
    </row>
    <row r="259" spans="1:23" ht="72">
      <c r="A259" s="301">
        <v>43852.854166666664</v>
      </c>
      <c r="B259" s="301">
        <v>43853.135416666664</v>
      </c>
      <c r="C259" s="301">
        <f t="shared" ref="C259:C262" si="20">B259-A259</f>
        <v>0.28125</v>
      </c>
      <c r="D259" s="311">
        <v>0.28125</v>
      </c>
      <c r="E259" s="302">
        <v>174</v>
      </c>
      <c r="F259" s="303" t="s">
        <v>250</v>
      </c>
      <c r="G259" s="303" t="s">
        <v>664</v>
      </c>
      <c r="H259" s="304" t="s">
        <v>259</v>
      </c>
      <c r="I259" s="305">
        <v>43858</v>
      </c>
      <c r="J259" s="306"/>
      <c r="K259" s="302" t="s">
        <v>227</v>
      </c>
      <c r="L259" s="307"/>
      <c r="M259" s="308"/>
      <c r="N259" s="303" t="s">
        <v>40</v>
      </c>
      <c r="O259" s="302">
        <v>250</v>
      </c>
      <c r="P259" s="302" t="s">
        <v>342</v>
      </c>
      <c r="Q259" s="309" t="s">
        <v>229</v>
      </c>
      <c r="R259" s="310">
        <v>18850</v>
      </c>
      <c r="S259" s="310">
        <v>15608</v>
      </c>
      <c r="T259" s="306" t="s">
        <v>232</v>
      </c>
      <c r="U259" s="310" t="s">
        <v>37</v>
      </c>
      <c r="V259" s="247" t="str">
        <f>VLOOKUP(E259,Лист4!A$2:G$499,7)</f>
        <v>картон до 250</v>
      </c>
      <c r="W259" s="247">
        <f>IF(ISNA(V259),VLOOKUP(E259,категория!A$16:C$41,3,),R259*8.333/VLOOKUP(V259,категория!A$16:C$41,2,))</f>
        <v>78.538525000000007</v>
      </c>
    </row>
    <row r="260" spans="1:23" ht="15.75">
      <c r="A260" s="301">
        <v>43853.135416666664</v>
      </c>
      <c r="B260" s="301">
        <v>43853.15625</v>
      </c>
      <c r="C260" s="301">
        <f t="shared" si="20"/>
        <v>2.0833333335758653E-2</v>
      </c>
      <c r="D260" s="311">
        <v>2.0833333333333332E-2</v>
      </c>
      <c r="E260" s="329" t="s">
        <v>23</v>
      </c>
      <c r="F260" s="330"/>
      <c r="G260" s="330"/>
      <c r="H260" s="330"/>
      <c r="I260" s="330"/>
      <c r="J260" s="330"/>
      <c r="K260" s="330"/>
      <c r="L260" s="330"/>
      <c r="M260" s="330"/>
      <c r="N260" s="330"/>
      <c r="O260" s="330"/>
      <c r="P260" s="330"/>
      <c r="Q260" s="330"/>
      <c r="R260" s="330"/>
      <c r="S260" s="330"/>
      <c r="T260" s="330"/>
      <c r="U260" s="331"/>
      <c r="V260" s="247" t="e">
        <f>VLOOKUP(E260,Лист4!A$2:G$499,7)</f>
        <v>#N/A</v>
      </c>
      <c r="W260" s="247">
        <f>IF(ISNA(V260),VLOOKUP(E260,категория!A$16:C$41,3,),11.12+R260*8.333/VLOOKUP(V260,категория!A$16:C$41,2,))</f>
        <v>2.78</v>
      </c>
    </row>
    <row r="261" spans="1:23" ht="15.75">
      <c r="A261" s="301">
        <v>43853.15625</v>
      </c>
      <c r="B261" s="301">
        <v>43853.166666666664</v>
      </c>
      <c r="C261" s="301">
        <f t="shared" si="20"/>
        <v>1.0416666664241347E-2</v>
      </c>
      <c r="D261" s="311">
        <v>2.0833333333333332E-2</v>
      </c>
      <c r="E261" s="329" t="s">
        <v>2</v>
      </c>
      <c r="F261" s="330"/>
      <c r="G261" s="330"/>
      <c r="H261" s="330"/>
      <c r="I261" s="330"/>
      <c r="J261" s="330"/>
      <c r="K261" s="330"/>
      <c r="L261" s="330"/>
      <c r="M261" s="330"/>
      <c r="N261" s="330"/>
      <c r="O261" s="330"/>
      <c r="P261" s="330"/>
      <c r="Q261" s="330"/>
      <c r="R261" s="330"/>
      <c r="S261" s="330"/>
      <c r="T261" s="330"/>
      <c r="U261" s="331"/>
      <c r="V261" s="247" t="e">
        <f>VLOOKUP(E261,Лист4!A$2:G$499,7)</f>
        <v>#N/A</v>
      </c>
      <c r="W261" s="247">
        <f>IF(ISNA(V261),VLOOKUP(E261,категория!A$16:C$41,3,),11.12+R261*8.333/VLOOKUP(V261,категория!A$16:C$41,2,))</f>
        <v>4.17</v>
      </c>
    </row>
    <row r="262" spans="1:23" ht="15.75">
      <c r="A262" s="301">
        <v>43853.166666666664</v>
      </c>
      <c r="B262" s="301">
        <v>43853.333333333336</v>
      </c>
      <c r="C262" s="301">
        <f t="shared" si="20"/>
        <v>0.16666666667151731</v>
      </c>
      <c r="D262" s="311">
        <v>4.1666666666666664E-2</v>
      </c>
      <c r="E262" s="329" t="s">
        <v>7</v>
      </c>
      <c r="F262" s="330"/>
      <c r="G262" s="330"/>
      <c r="H262" s="330"/>
      <c r="I262" s="330"/>
      <c r="J262" s="330"/>
      <c r="K262" s="330"/>
      <c r="L262" s="330"/>
      <c r="M262" s="330"/>
      <c r="N262" s="330"/>
      <c r="O262" s="330"/>
      <c r="P262" s="330"/>
      <c r="Q262" s="330"/>
      <c r="R262" s="330"/>
      <c r="S262" s="330"/>
      <c r="T262" s="330"/>
      <c r="U262" s="331"/>
      <c r="V262" s="247" t="e">
        <f>VLOOKUP(E262,Лист4!A$2:G$499,7)</f>
        <v>#N/A</v>
      </c>
      <c r="W262" s="247">
        <f>4*8.333</f>
        <v>33.332000000000001</v>
      </c>
    </row>
    <row r="263" spans="1:23" ht="15.75">
      <c r="A263" s="312">
        <v>43853.333333333336</v>
      </c>
      <c r="B263" s="332" t="s">
        <v>666</v>
      </c>
      <c r="C263" s="333"/>
      <c r="D263" s="334"/>
      <c r="E263" s="334"/>
      <c r="F263" s="334"/>
      <c r="G263" s="334"/>
      <c r="H263" s="334"/>
      <c r="I263" s="334"/>
      <c r="J263" s="334"/>
      <c r="K263" s="334"/>
      <c r="L263" s="334"/>
      <c r="M263" s="334"/>
      <c r="N263" s="334"/>
      <c r="O263" s="334"/>
      <c r="P263" s="334"/>
      <c r="Q263" s="334"/>
      <c r="R263" s="334"/>
      <c r="S263" s="334"/>
      <c r="T263" s="334"/>
      <c r="U263" s="335"/>
      <c r="V263" s="247" t="e">
        <f>VLOOKUP(E263,Лист4!A$2:G$499,7)</f>
        <v>#N/A</v>
      </c>
      <c r="W263" s="52">
        <f>SUM(W258:W262)</f>
        <v>122.99052500000002</v>
      </c>
    </row>
    <row r="264" spans="1:23" ht="15.75">
      <c r="A264" s="301">
        <v>43853.333333333336</v>
      </c>
      <c r="B264" s="301">
        <v>43853.354166666664</v>
      </c>
      <c r="C264" s="301">
        <f>B264-A264</f>
        <v>2.0833333328482695E-2</v>
      </c>
      <c r="D264" s="311">
        <v>2.0833333333333332E-2</v>
      </c>
      <c r="E264" s="329" t="s">
        <v>22</v>
      </c>
      <c r="F264" s="330"/>
      <c r="G264" s="330"/>
      <c r="H264" s="330"/>
      <c r="I264" s="330"/>
      <c r="J264" s="330"/>
      <c r="K264" s="330"/>
      <c r="L264" s="330"/>
      <c r="M264" s="330"/>
      <c r="N264" s="330"/>
      <c r="O264" s="330"/>
      <c r="P264" s="330"/>
      <c r="Q264" s="330"/>
      <c r="R264" s="330"/>
      <c r="S264" s="330"/>
      <c r="T264" s="330"/>
      <c r="U264" s="331"/>
      <c r="V264" s="247" t="e">
        <f>VLOOKUP(E264,Лист4!A$2:G$499,7)</f>
        <v>#N/A</v>
      </c>
      <c r="W264" s="247">
        <f>IF(ISNA(V264),VLOOKUP(E264,категория!A$16:C$41,3,),11.12+R264*8.333/VLOOKUP(V264,категория!A$16:C$41,2,))</f>
        <v>4.17</v>
      </c>
    </row>
    <row r="265" spans="1:23" ht="15.75">
      <c r="A265" s="301">
        <v>43853.354166666664</v>
      </c>
      <c r="B265" s="301">
        <v>43853.395833333336</v>
      </c>
      <c r="C265" s="301">
        <f t="shared" ref="C265:C278" si="21">B265-A265</f>
        <v>4.1666666671517305E-2</v>
      </c>
      <c r="D265" s="311">
        <v>3.472222222222222E-3</v>
      </c>
      <c r="E265" s="329" t="s">
        <v>24</v>
      </c>
      <c r="F265" s="330"/>
      <c r="G265" s="330"/>
      <c r="H265" s="330"/>
      <c r="I265" s="330"/>
      <c r="J265" s="330"/>
      <c r="K265" s="330"/>
      <c r="L265" s="330"/>
      <c r="M265" s="330"/>
      <c r="N265" s="330"/>
      <c r="O265" s="330"/>
      <c r="P265" s="330"/>
      <c r="Q265" s="330"/>
      <c r="R265" s="330"/>
      <c r="S265" s="330"/>
      <c r="T265" s="330"/>
      <c r="U265" s="331"/>
      <c r="V265" s="247" t="e">
        <f>VLOOKUP(E265,Лист4!A$2:G$499,7)</f>
        <v>#N/A</v>
      </c>
      <c r="W265" s="247">
        <f>IF(ISNA(V265),VLOOKUP(E265,категория!A$16:C$41,3,),11.12+R265*8.333/VLOOKUP(V265,категория!A$16:C$41,2,))</f>
        <v>5.56</v>
      </c>
    </row>
    <row r="266" spans="1:23" ht="15.75">
      <c r="A266" s="301">
        <v>43853.395833333336</v>
      </c>
      <c r="B266" s="301">
        <v>43853.423611111109</v>
      </c>
      <c r="C266" s="301">
        <f t="shared" si="21"/>
        <v>2.7777777773735579E-2</v>
      </c>
      <c r="D266" s="311">
        <v>3.472222222222222E-3</v>
      </c>
      <c r="E266" s="329" t="s">
        <v>26</v>
      </c>
      <c r="F266" s="330"/>
      <c r="G266" s="330"/>
      <c r="H266" s="330"/>
      <c r="I266" s="330"/>
      <c r="J266" s="330"/>
      <c r="K266" s="330"/>
      <c r="L266" s="330"/>
      <c r="M266" s="330"/>
      <c r="N266" s="330"/>
      <c r="O266" s="330"/>
      <c r="P266" s="330"/>
      <c r="Q266" s="330"/>
      <c r="R266" s="330"/>
      <c r="S266" s="330"/>
      <c r="T266" s="330"/>
      <c r="U266" s="331"/>
      <c r="V266" s="247" t="e">
        <f>VLOOKUP(E266,Лист4!A$2:G$499,7)</f>
        <v>#N/A</v>
      </c>
      <c r="W266" s="247">
        <v>11.12</v>
      </c>
    </row>
    <row r="267" spans="1:23" ht="72">
      <c r="A267" s="301">
        <v>43853.423611111109</v>
      </c>
      <c r="B267" s="301">
        <v>43853.517361111109</v>
      </c>
      <c r="C267" s="301">
        <f t="shared" si="21"/>
        <v>9.375E-2</v>
      </c>
      <c r="D267" s="311">
        <v>9.375E-2</v>
      </c>
      <c r="E267" s="302">
        <v>67</v>
      </c>
      <c r="F267" s="303" t="s">
        <v>667</v>
      </c>
      <c r="G267" s="303" t="s">
        <v>668</v>
      </c>
      <c r="H267" s="304" t="s">
        <v>226</v>
      </c>
      <c r="I267" s="305">
        <v>43847</v>
      </c>
      <c r="J267" s="306"/>
      <c r="K267" s="302" t="s">
        <v>227</v>
      </c>
      <c r="L267" s="307"/>
      <c r="M267" s="308"/>
      <c r="N267" s="303" t="s">
        <v>350</v>
      </c>
      <c r="O267" s="302">
        <v>440</v>
      </c>
      <c r="P267" s="302" t="s">
        <v>669</v>
      </c>
      <c r="Q267" s="309" t="s">
        <v>241</v>
      </c>
      <c r="R267" s="310">
        <v>2555</v>
      </c>
      <c r="S267" s="310">
        <v>2930</v>
      </c>
      <c r="T267" s="306" t="s">
        <v>232</v>
      </c>
      <c r="U267" s="310" t="s">
        <v>593</v>
      </c>
      <c r="V267" s="247" t="s">
        <v>60</v>
      </c>
      <c r="W267" s="247">
        <f>IF(ISNA(V267),VLOOKUP(E267,категория!A$16:C$41,3,),11.12+R267*8.333/VLOOKUP(V267,категория!A$16:C$41,2,))</f>
        <v>21.765407499999998</v>
      </c>
    </row>
    <row r="268" spans="1:23" ht="15.75">
      <c r="A268" s="301">
        <v>43853.517361111109</v>
      </c>
      <c r="B268" s="301">
        <v>43853.53125</v>
      </c>
      <c r="C268" s="301">
        <f t="shared" si="21"/>
        <v>1.3888888890505768E-2</v>
      </c>
      <c r="D268" s="311">
        <v>1.7361111111111112E-2</v>
      </c>
      <c r="E268" s="329" t="s">
        <v>3</v>
      </c>
      <c r="F268" s="330"/>
      <c r="G268" s="330"/>
      <c r="H268" s="330"/>
      <c r="I268" s="330"/>
      <c r="J268" s="330"/>
      <c r="K268" s="330"/>
      <c r="L268" s="330"/>
      <c r="M268" s="330"/>
      <c r="N268" s="330"/>
      <c r="O268" s="330"/>
      <c r="P268" s="330"/>
      <c r="Q268" s="330"/>
      <c r="R268" s="330"/>
      <c r="S268" s="330"/>
      <c r="T268" s="330"/>
      <c r="U268" s="331"/>
      <c r="V268" s="247" t="e">
        <f>VLOOKUP(E268,Лист4!A$2:G$499,7)</f>
        <v>#N/A</v>
      </c>
      <c r="W268" s="247">
        <f>IF(ISNA(V268),VLOOKUP(E268,категория!A$16:C$41,3,),11.12+R268*8.333/VLOOKUP(V268,категория!A$16:C$41,2,))</f>
        <v>3.48</v>
      </c>
    </row>
    <row r="269" spans="1:23" ht="15.75">
      <c r="A269" s="301">
        <v>43853.534722222219</v>
      </c>
      <c r="B269" s="301">
        <v>43853.548611111109</v>
      </c>
      <c r="C269" s="301">
        <f t="shared" si="21"/>
        <v>1.3888888890505768E-2</v>
      </c>
      <c r="D269" s="311">
        <v>1.3888888888888888E-2</v>
      </c>
      <c r="E269" s="329" t="s">
        <v>23</v>
      </c>
      <c r="F269" s="330"/>
      <c r="G269" s="330"/>
      <c r="H269" s="330"/>
      <c r="I269" s="330"/>
      <c r="J269" s="330"/>
      <c r="K269" s="330"/>
      <c r="L269" s="330"/>
      <c r="M269" s="330"/>
      <c r="N269" s="330"/>
      <c r="O269" s="330"/>
      <c r="P269" s="330"/>
      <c r="Q269" s="330"/>
      <c r="R269" s="330"/>
      <c r="S269" s="330"/>
      <c r="T269" s="330"/>
      <c r="U269" s="331"/>
      <c r="V269" s="247" t="e">
        <f>VLOOKUP(E269,Лист4!A$2:G$499,7)</f>
        <v>#N/A</v>
      </c>
      <c r="W269" s="247">
        <f>IF(ISNA(V269),VLOOKUP(E269,категория!A$16:C$41,3,),11.12+R269*8.333/VLOOKUP(V269,категория!A$16:C$41,2,))</f>
        <v>2.78</v>
      </c>
    </row>
    <row r="270" spans="1:23" ht="15.75">
      <c r="A270" s="301">
        <v>43853.548611111109</v>
      </c>
      <c r="B270" s="301">
        <v>43853.618055555555</v>
      </c>
      <c r="C270" s="301">
        <f t="shared" si="21"/>
        <v>6.9444444445252884E-2</v>
      </c>
      <c r="D270" s="311">
        <v>4.1666666666666664E-2</v>
      </c>
      <c r="E270" s="329" t="s">
        <v>670</v>
      </c>
      <c r="F270" s="330"/>
      <c r="G270" s="330"/>
      <c r="H270" s="330"/>
      <c r="I270" s="330"/>
      <c r="J270" s="330"/>
      <c r="K270" s="330"/>
      <c r="L270" s="330"/>
      <c r="M270" s="330"/>
      <c r="N270" s="330"/>
      <c r="O270" s="330"/>
      <c r="P270" s="330"/>
      <c r="Q270" s="330"/>
      <c r="R270" s="330"/>
      <c r="S270" s="330"/>
      <c r="T270" s="330"/>
      <c r="U270" s="331"/>
      <c r="V270" s="247" t="e">
        <f>VLOOKUP(E270,Лист4!A$2:G$499,7)</f>
        <v>#N/A</v>
      </c>
      <c r="W270" s="247">
        <f>1.667*8.333</f>
        <v>13.891111</v>
      </c>
    </row>
    <row r="271" spans="1:23" ht="72">
      <c r="A271" s="301">
        <v>43853.618055555555</v>
      </c>
      <c r="B271" s="301">
        <v>43853.701388888891</v>
      </c>
      <c r="C271" s="301">
        <f t="shared" si="21"/>
        <v>8.3333333335758653E-2</v>
      </c>
      <c r="D271" s="311">
        <v>8.3333333333333329E-2</v>
      </c>
      <c r="E271" s="302">
        <v>67</v>
      </c>
      <c r="F271" s="303" t="s">
        <v>667</v>
      </c>
      <c r="G271" s="303" t="s">
        <v>668</v>
      </c>
      <c r="H271" s="304" t="s">
        <v>273</v>
      </c>
      <c r="I271" s="305">
        <v>43847</v>
      </c>
      <c r="J271" s="306"/>
      <c r="K271" s="302" t="s">
        <v>256</v>
      </c>
      <c r="L271" s="307" t="s">
        <v>232</v>
      </c>
      <c r="M271" s="308"/>
      <c r="N271" s="303" t="s">
        <v>350</v>
      </c>
      <c r="O271" s="302"/>
      <c r="P271" s="302" t="s">
        <v>669</v>
      </c>
      <c r="Q271" s="309" t="s">
        <v>241</v>
      </c>
      <c r="R271" s="310">
        <v>2500</v>
      </c>
      <c r="S271" s="310">
        <v>2775</v>
      </c>
      <c r="T271" s="306" t="s">
        <v>232</v>
      </c>
      <c r="U271" s="310" t="s">
        <v>593</v>
      </c>
      <c r="V271" s="247" t="s">
        <v>60</v>
      </c>
      <c r="W271" s="247">
        <f>IF(ISNA(V271),VLOOKUP(E271,категория!A$16:C$41,3,),11.12/4+R271*8.333/VLOOKUP(V271,категория!A$16:C$41,2,))</f>
        <v>13.196249999999999</v>
      </c>
    </row>
    <row r="272" spans="1:23" ht="15.75">
      <c r="A272" s="301">
        <v>43853.701388888891</v>
      </c>
      <c r="B272" s="301">
        <v>43853.722222222219</v>
      </c>
      <c r="C272" s="301">
        <f t="shared" si="21"/>
        <v>2.0833333328482695E-2</v>
      </c>
      <c r="D272" s="311">
        <v>2.0833333333333332E-2</v>
      </c>
      <c r="E272" s="329" t="s">
        <v>2</v>
      </c>
      <c r="F272" s="330"/>
      <c r="G272" s="330"/>
      <c r="H272" s="330"/>
      <c r="I272" s="330"/>
      <c r="J272" s="330"/>
      <c r="K272" s="330"/>
      <c r="L272" s="330"/>
      <c r="M272" s="330"/>
      <c r="N272" s="330"/>
      <c r="O272" s="330"/>
      <c r="P272" s="330"/>
      <c r="Q272" s="330"/>
      <c r="R272" s="330"/>
      <c r="S272" s="330"/>
      <c r="T272" s="330"/>
      <c r="U272" s="331"/>
      <c r="V272" s="247" t="e">
        <f>VLOOKUP(E272,Лист4!A$2:G$499,7)</f>
        <v>#N/A</v>
      </c>
      <c r="W272" s="247">
        <f>IF(ISNA(V272),VLOOKUP(E272,категория!A$16:C$41,3,),11.12+R272*8.333/VLOOKUP(V272,категория!A$16:C$41,2,))</f>
        <v>4.17</v>
      </c>
    </row>
    <row r="273" spans="1:23" ht="15.75">
      <c r="A273" s="301">
        <v>43853.722222222219</v>
      </c>
      <c r="B273" s="301">
        <v>43853.736111111109</v>
      </c>
      <c r="C273" s="301">
        <f t="shared" si="21"/>
        <v>1.3888888890505768E-2</v>
      </c>
      <c r="D273" s="311">
        <v>1.7361111111111112E-2</v>
      </c>
      <c r="E273" s="329" t="s">
        <v>3</v>
      </c>
      <c r="F273" s="330"/>
      <c r="G273" s="330"/>
      <c r="H273" s="330"/>
      <c r="I273" s="330"/>
      <c r="J273" s="330"/>
      <c r="K273" s="330"/>
      <c r="L273" s="330"/>
      <c r="M273" s="330"/>
      <c r="N273" s="330"/>
      <c r="O273" s="330"/>
      <c r="P273" s="330"/>
      <c r="Q273" s="330"/>
      <c r="R273" s="330"/>
      <c r="S273" s="330"/>
      <c r="T273" s="330"/>
      <c r="U273" s="331"/>
      <c r="V273" s="247" t="e">
        <f>VLOOKUP(E273,Лист4!A$2:G$499,7)</f>
        <v>#N/A</v>
      </c>
      <c r="W273" s="247">
        <f>IF(ISNA(V273),VLOOKUP(E273,категория!A$16:C$41,3,),11.12+R273*8.333/VLOOKUP(V273,категория!A$16:C$41,2,))</f>
        <v>3.48</v>
      </c>
    </row>
    <row r="274" spans="1:23" ht="15.75">
      <c r="A274" s="301">
        <v>43853.736111111109</v>
      </c>
      <c r="B274" s="301">
        <v>43853.75</v>
      </c>
      <c r="C274" s="301">
        <f t="shared" si="21"/>
        <v>1.3888888890505768E-2</v>
      </c>
      <c r="D274" s="311">
        <v>2.0833333333333332E-2</v>
      </c>
      <c r="E274" s="329" t="s">
        <v>8</v>
      </c>
      <c r="F274" s="330"/>
      <c r="G274" s="330"/>
      <c r="H274" s="330"/>
      <c r="I274" s="330"/>
      <c r="J274" s="330"/>
      <c r="K274" s="330"/>
      <c r="L274" s="330"/>
      <c r="M274" s="330"/>
      <c r="N274" s="330"/>
      <c r="O274" s="330"/>
      <c r="P274" s="330"/>
      <c r="Q274" s="330"/>
      <c r="R274" s="330"/>
      <c r="S274" s="330"/>
      <c r="T274" s="330"/>
      <c r="U274" s="331"/>
      <c r="V274" s="247" t="e">
        <f>VLOOKUP(E274,Лист4!A$2:G$499,7)</f>
        <v>#N/A</v>
      </c>
      <c r="W274" s="247">
        <f>IF(ISNA(V274),VLOOKUP(E274,категория!A$16:C$41,3,),11.12+R274*8.333/VLOOKUP(V274,категория!A$16:C$41,2,))</f>
        <v>4.17</v>
      </c>
    </row>
    <row r="275" spans="1:23" ht="72">
      <c r="A275" s="301">
        <v>43853.75</v>
      </c>
      <c r="B275" s="301">
        <v>43853.788194444445</v>
      </c>
      <c r="C275" s="301">
        <f t="shared" si="21"/>
        <v>3.8194444445252884E-2</v>
      </c>
      <c r="D275" s="311">
        <v>3.8194444444444441E-2</v>
      </c>
      <c r="E275" s="302">
        <v>67</v>
      </c>
      <c r="F275" s="303" t="s">
        <v>667</v>
      </c>
      <c r="G275" s="303" t="s">
        <v>668</v>
      </c>
      <c r="H275" s="304" t="s">
        <v>273</v>
      </c>
      <c r="I275" s="305">
        <v>43847</v>
      </c>
      <c r="J275" s="306"/>
      <c r="K275" s="302" t="s">
        <v>256</v>
      </c>
      <c r="L275" s="307"/>
      <c r="M275" s="308"/>
      <c r="N275" s="303" t="s">
        <v>350</v>
      </c>
      <c r="O275" s="302"/>
      <c r="P275" s="302" t="s">
        <v>669</v>
      </c>
      <c r="Q275" s="309" t="s">
        <v>241</v>
      </c>
      <c r="R275" s="310">
        <v>2710</v>
      </c>
      <c r="S275" s="310">
        <v>2542</v>
      </c>
      <c r="T275" s="306" t="s">
        <v>232</v>
      </c>
      <c r="U275" s="310" t="s">
        <v>593</v>
      </c>
      <c r="V275" s="247" t="s">
        <v>60</v>
      </c>
      <c r="W275" s="247">
        <f>IF(ISNA(V275),VLOOKUP(E275,категория!A$16:C$41,3,),11.12/4+R275*8.333/VLOOKUP(V275,категория!A$16:C$41,2,))</f>
        <v>14.071214999999999</v>
      </c>
    </row>
    <row r="276" spans="1:23" ht="15.75">
      <c r="A276" s="301">
        <v>43853.788194444445</v>
      </c>
      <c r="B276" s="301">
        <v>43853.798611111109</v>
      </c>
      <c r="C276" s="301">
        <f t="shared" si="21"/>
        <v>1.0416666664241347E-2</v>
      </c>
      <c r="D276" s="311">
        <v>2.0833333333333332E-2</v>
      </c>
      <c r="E276" s="329" t="s">
        <v>2</v>
      </c>
      <c r="F276" s="330"/>
      <c r="G276" s="330"/>
      <c r="H276" s="330"/>
      <c r="I276" s="330"/>
      <c r="J276" s="330"/>
      <c r="K276" s="330"/>
      <c r="L276" s="330"/>
      <c r="M276" s="330"/>
      <c r="N276" s="330"/>
      <c r="O276" s="330"/>
      <c r="P276" s="330"/>
      <c r="Q276" s="330"/>
      <c r="R276" s="330"/>
      <c r="S276" s="330"/>
      <c r="T276" s="330"/>
      <c r="U276" s="331"/>
      <c r="V276" s="247" t="e">
        <f>VLOOKUP(E276,Лист4!A$2:G$499,7)</f>
        <v>#N/A</v>
      </c>
      <c r="W276" s="247">
        <f>IF(ISNA(V276),VLOOKUP(E276,категория!A$16:C$41,3,),11.12+R276*8.333/VLOOKUP(V276,категория!A$16:C$41,2,))</f>
        <v>4.17</v>
      </c>
    </row>
    <row r="277" spans="1:23" ht="15.75">
      <c r="A277" s="301">
        <v>43853.798611111109</v>
      </c>
      <c r="B277" s="301">
        <v>43853.815972222219</v>
      </c>
      <c r="C277" s="301">
        <f t="shared" si="21"/>
        <v>1.7361111109494232E-2</v>
      </c>
      <c r="D277" s="311">
        <v>1.7361111111111112E-2</v>
      </c>
      <c r="E277" s="329" t="s">
        <v>3</v>
      </c>
      <c r="F277" s="330"/>
      <c r="G277" s="330"/>
      <c r="H277" s="330"/>
      <c r="I277" s="330"/>
      <c r="J277" s="330"/>
      <c r="K277" s="330"/>
      <c r="L277" s="330"/>
      <c r="M277" s="330"/>
      <c r="N277" s="330"/>
      <c r="O277" s="330"/>
      <c r="P277" s="330"/>
      <c r="Q277" s="330"/>
      <c r="R277" s="330"/>
      <c r="S277" s="330"/>
      <c r="T277" s="330"/>
      <c r="U277" s="331"/>
      <c r="V277" s="247" t="e">
        <f>VLOOKUP(E277,Лист4!A$2:G$499,7)</f>
        <v>#N/A</v>
      </c>
      <c r="W277" s="247">
        <f>IF(ISNA(V277),VLOOKUP(E277,категория!A$16:C$41,3,),11.12+R277*8.333/VLOOKUP(V277,категория!A$16:C$41,2,))</f>
        <v>3.48</v>
      </c>
    </row>
    <row r="278" spans="1:23" ht="15.75">
      <c r="A278" s="301">
        <v>43853.8125</v>
      </c>
      <c r="B278" s="301">
        <v>43853.836805555555</v>
      </c>
      <c r="C278" s="301">
        <f t="shared" si="21"/>
        <v>2.4305555554747116E-2</v>
      </c>
      <c r="D278" s="311">
        <v>2.4305555555555556E-2</v>
      </c>
      <c r="E278" s="329" t="s">
        <v>22</v>
      </c>
      <c r="F278" s="330"/>
      <c r="G278" s="330"/>
      <c r="H278" s="330"/>
      <c r="I278" s="330"/>
      <c r="J278" s="330"/>
      <c r="K278" s="330"/>
      <c r="L278" s="330"/>
      <c r="M278" s="330"/>
      <c r="N278" s="330"/>
      <c r="O278" s="330"/>
      <c r="P278" s="330"/>
      <c r="Q278" s="330"/>
      <c r="R278" s="330"/>
      <c r="S278" s="330"/>
      <c r="T278" s="330"/>
      <c r="U278" s="331"/>
      <c r="V278" s="247" t="e">
        <f>VLOOKUP(E278,Лист4!A$2:G$499,7)</f>
        <v>#N/A</v>
      </c>
      <c r="W278" s="247">
        <f>IF(ISNA(V278),VLOOKUP(E278,категория!A$16:C$41,3,),11.12+R278*8.333/VLOOKUP(V278,категория!A$16:C$41,2,))</f>
        <v>4.17</v>
      </c>
    </row>
    <row r="279" spans="1:23" ht="15.75">
      <c r="A279" s="312">
        <v>43853.833333333336</v>
      </c>
      <c r="B279" s="332" t="s">
        <v>671</v>
      </c>
      <c r="C279" s="333"/>
      <c r="D279" s="334"/>
      <c r="E279" s="334"/>
      <c r="F279" s="334"/>
      <c r="G279" s="334"/>
      <c r="H279" s="334"/>
      <c r="I279" s="334"/>
      <c r="J279" s="334"/>
      <c r="K279" s="334"/>
      <c r="L279" s="334"/>
      <c r="M279" s="334"/>
      <c r="N279" s="334"/>
      <c r="O279" s="334"/>
      <c r="P279" s="334"/>
      <c r="Q279" s="334"/>
      <c r="R279" s="334"/>
      <c r="S279" s="334"/>
      <c r="T279" s="334"/>
      <c r="U279" s="335"/>
      <c r="V279" s="247" t="e">
        <f>VLOOKUP(E279,Лист4!A$2:G$499,7)</f>
        <v>#N/A</v>
      </c>
      <c r="W279" s="52">
        <f>SUM(W264:W278)</f>
        <v>113.67398350000002</v>
      </c>
    </row>
    <row r="280" spans="1:23" ht="15.75">
      <c r="A280" s="301">
        <v>43853.833333333336</v>
      </c>
      <c r="B280" s="301">
        <v>43853.854166666664</v>
      </c>
      <c r="C280" s="301"/>
      <c r="D280" s="311">
        <v>2.0833333333333332E-2</v>
      </c>
      <c r="E280" s="329" t="s">
        <v>22</v>
      </c>
      <c r="F280" s="330"/>
      <c r="G280" s="330"/>
      <c r="H280" s="330"/>
      <c r="I280" s="330"/>
      <c r="J280" s="330"/>
      <c r="K280" s="330"/>
      <c r="L280" s="330"/>
      <c r="M280" s="330"/>
      <c r="N280" s="330"/>
      <c r="O280" s="330"/>
      <c r="P280" s="330"/>
      <c r="Q280" s="330"/>
      <c r="R280" s="330"/>
      <c r="S280" s="330"/>
      <c r="T280" s="330"/>
      <c r="U280" s="331"/>
      <c r="V280" s="247" t="e">
        <f>VLOOKUP(E280,Лист4!A$2:G$499,7)</f>
        <v>#N/A</v>
      </c>
      <c r="W280" s="247">
        <f>IF(ISNA(V280),VLOOKUP(E280,категория!A$16:C$41,3,),11.12+R280*8.333/VLOOKUP(V280,категория!A$16:C$41,2,))</f>
        <v>4.17</v>
      </c>
    </row>
    <row r="281" spans="1:23" ht="15.75">
      <c r="A281" s="301">
        <v>43853.854166666664</v>
      </c>
      <c r="B281" s="301">
        <v>43853.881944444445</v>
      </c>
      <c r="C281" s="301"/>
      <c r="D281" s="311">
        <v>5.2083333333333336E-2</v>
      </c>
      <c r="E281" s="329" t="s">
        <v>5</v>
      </c>
      <c r="F281" s="330"/>
      <c r="G281" s="330"/>
      <c r="H281" s="330"/>
      <c r="I281" s="330"/>
      <c r="J281" s="330"/>
      <c r="K281" s="330"/>
      <c r="L281" s="330"/>
      <c r="M281" s="330"/>
      <c r="N281" s="330"/>
      <c r="O281" s="330"/>
      <c r="P281" s="330"/>
      <c r="Q281" s="330"/>
      <c r="R281" s="330"/>
      <c r="S281" s="330"/>
      <c r="T281" s="330"/>
      <c r="U281" s="331"/>
      <c r="V281" s="247" t="e">
        <f>VLOOKUP(E281,Лист4!A$2:G$499,7)</f>
        <v>#N/A</v>
      </c>
      <c r="W281" s="247">
        <f>IF(ISNA(V281),VLOOKUP(E281,категория!A$16:C$41,3,),11.12+R281*8.333/VLOOKUP(V281,категория!A$16:C$41,2,))</f>
        <v>10.43</v>
      </c>
    </row>
    <row r="282" spans="1:23" ht="15.75">
      <c r="A282" s="301">
        <v>43853.881944444445</v>
      </c>
      <c r="B282" s="301">
        <v>43853.902777777781</v>
      </c>
      <c r="C282" s="301"/>
      <c r="D282" s="311">
        <v>2.0833333333333332E-2</v>
      </c>
      <c r="E282" s="329" t="s">
        <v>8</v>
      </c>
      <c r="F282" s="330"/>
      <c r="G282" s="330"/>
      <c r="H282" s="330"/>
      <c r="I282" s="330"/>
      <c r="J282" s="330"/>
      <c r="K282" s="330"/>
      <c r="L282" s="330"/>
      <c r="M282" s="330"/>
      <c r="N282" s="330"/>
      <c r="O282" s="330"/>
      <c r="P282" s="330"/>
      <c r="Q282" s="330"/>
      <c r="R282" s="330"/>
      <c r="S282" s="330"/>
      <c r="T282" s="330"/>
      <c r="U282" s="331"/>
      <c r="V282" s="247" t="e">
        <f>VLOOKUP(E282,Лист4!A$2:G$499,7)</f>
        <v>#N/A</v>
      </c>
      <c r="W282" s="247">
        <f>IF(ISNA(V282),VLOOKUP(E282,категория!A$16:C$41,3,),11.12+R282*8.333/VLOOKUP(V282,категория!A$16:C$41,2,))</f>
        <v>4.17</v>
      </c>
    </row>
    <row r="283" spans="1:23" ht="15.75">
      <c r="A283" s="301">
        <v>43853.902777777781</v>
      </c>
      <c r="B283" s="301">
        <v>43853.923611111109</v>
      </c>
      <c r="C283" s="301"/>
      <c r="D283" s="311">
        <v>2.0833333333333332E-2</v>
      </c>
      <c r="E283" s="329" t="s">
        <v>23</v>
      </c>
      <c r="F283" s="330"/>
      <c r="G283" s="330"/>
      <c r="H283" s="330"/>
      <c r="I283" s="330"/>
      <c r="J283" s="330"/>
      <c r="K283" s="330"/>
      <c r="L283" s="330"/>
      <c r="M283" s="330"/>
      <c r="N283" s="330"/>
      <c r="O283" s="330"/>
      <c r="P283" s="330"/>
      <c r="Q283" s="330"/>
      <c r="R283" s="330"/>
      <c r="S283" s="330"/>
      <c r="T283" s="330"/>
      <c r="U283" s="331"/>
      <c r="V283" s="247" t="e">
        <f>VLOOKUP(E283,Лист4!A$2:G$499,7)</f>
        <v>#N/A</v>
      </c>
      <c r="W283" s="247">
        <f>IF(ISNA(V283),VLOOKUP(E283,категория!A$16:C$41,3,),11.12+R283*8.333/VLOOKUP(V283,категория!A$16:C$41,2,))</f>
        <v>2.78</v>
      </c>
    </row>
    <row r="284" spans="1:23" ht="72">
      <c r="A284" s="301">
        <v>43853.923611111109</v>
      </c>
      <c r="B284" s="301">
        <v>43854.3125</v>
      </c>
      <c r="C284" s="301"/>
      <c r="D284" s="311">
        <v>0.3888888888888889</v>
      </c>
      <c r="E284" s="302">
        <v>174</v>
      </c>
      <c r="F284" s="303" t="s">
        <v>250</v>
      </c>
      <c r="G284" s="303" t="s">
        <v>664</v>
      </c>
      <c r="H284" s="304" t="s">
        <v>292</v>
      </c>
      <c r="I284" s="305">
        <v>43858</v>
      </c>
      <c r="J284" s="306"/>
      <c r="K284" s="302" t="s">
        <v>267</v>
      </c>
      <c r="L284" s="307" t="s">
        <v>232</v>
      </c>
      <c r="M284" s="308"/>
      <c r="N284" s="303" t="s">
        <v>40</v>
      </c>
      <c r="O284" s="302">
        <v>250</v>
      </c>
      <c r="P284" s="302" t="s">
        <v>342</v>
      </c>
      <c r="Q284" s="309" t="s">
        <v>241</v>
      </c>
      <c r="R284" s="310">
        <v>16150</v>
      </c>
      <c r="S284" s="310">
        <v>15203</v>
      </c>
      <c r="T284" s="306" t="s">
        <v>232</v>
      </c>
      <c r="U284" s="310" t="s">
        <v>37</v>
      </c>
      <c r="V284" s="247" t="str">
        <f>VLOOKUP(E284,Лист4!A$2:G$499,7)</f>
        <v>картон до 250</v>
      </c>
      <c r="W284" s="247">
        <f>IF(ISNA(V284),VLOOKUP(E284,категория!A$16:C$41,3,),11.12/2+R284*8.333/VLOOKUP(V284,категория!A$16:C$41,2,))</f>
        <v>72.84897500000001</v>
      </c>
    </row>
    <row r="285" spans="1:23" ht="15.75">
      <c r="A285" s="301">
        <v>43854.3125</v>
      </c>
      <c r="B285" s="301">
        <v>43854.322916666664</v>
      </c>
      <c r="C285" s="301"/>
      <c r="D285" s="311">
        <v>2.0833333333333332E-2</v>
      </c>
      <c r="E285" s="329" t="s">
        <v>2</v>
      </c>
      <c r="F285" s="330"/>
      <c r="G285" s="330"/>
      <c r="H285" s="330"/>
      <c r="I285" s="330"/>
      <c r="J285" s="330"/>
      <c r="K285" s="330"/>
      <c r="L285" s="330"/>
      <c r="M285" s="330"/>
      <c r="N285" s="330"/>
      <c r="O285" s="330"/>
      <c r="P285" s="330"/>
      <c r="Q285" s="330"/>
      <c r="R285" s="330"/>
      <c r="S285" s="330"/>
      <c r="T285" s="330"/>
      <c r="U285" s="331"/>
      <c r="V285" s="247" t="e">
        <f>VLOOKUP(E285,Лист4!A$2:G$499,7)</f>
        <v>#N/A</v>
      </c>
      <c r="W285" s="247">
        <f>IF(ISNA(V285),VLOOKUP(E285,категория!A$16:C$41,3,),11.12+R285*8.333/VLOOKUP(V285,категория!A$16:C$41,2,))</f>
        <v>4.17</v>
      </c>
    </row>
    <row r="286" spans="1:23" ht="15.75">
      <c r="A286" s="301">
        <v>43854.322916666664</v>
      </c>
      <c r="B286" s="301">
        <v>43854.333333333336</v>
      </c>
      <c r="C286" s="301"/>
      <c r="D286" s="311">
        <v>2.0833333333333332E-2</v>
      </c>
      <c r="E286" s="329" t="s">
        <v>22</v>
      </c>
      <c r="F286" s="330"/>
      <c r="G286" s="330"/>
      <c r="H286" s="330"/>
      <c r="I286" s="330"/>
      <c r="J286" s="330"/>
      <c r="K286" s="330"/>
      <c r="L286" s="330"/>
      <c r="M286" s="330"/>
      <c r="N286" s="330"/>
      <c r="O286" s="330"/>
      <c r="P286" s="330"/>
      <c r="Q286" s="330"/>
      <c r="R286" s="330"/>
      <c r="S286" s="330"/>
      <c r="T286" s="330"/>
      <c r="U286" s="331"/>
      <c r="V286" s="247" t="e">
        <f>VLOOKUP(E286,Лист4!A$2:G$499,7)</f>
        <v>#N/A</v>
      </c>
      <c r="W286" s="247">
        <f>IF(ISNA(V286),VLOOKUP(E286,категория!A$16:C$41,3,),11.12+R286*8.333/VLOOKUP(V286,категория!A$16:C$41,2,))</f>
        <v>4.17</v>
      </c>
    </row>
    <row r="287" spans="1:23" ht="15.75">
      <c r="A287" s="312">
        <v>43854.333333333336</v>
      </c>
      <c r="B287" s="332" t="s">
        <v>672</v>
      </c>
      <c r="C287" s="333"/>
      <c r="D287" s="334"/>
      <c r="E287" s="334"/>
      <c r="F287" s="334"/>
      <c r="G287" s="334"/>
      <c r="H287" s="334"/>
      <c r="I287" s="334"/>
      <c r="J287" s="334"/>
      <c r="K287" s="334"/>
      <c r="L287" s="334"/>
      <c r="M287" s="334"/>
      <c r="N287" s="334"/>
      <c r="O287" s="334"/>
      <c r="P287" s="334"/>
      <c r="Q287" s="334"/>
      <c r="R287" s="334"/>
      <c r="S287" s="334"/>
      <c r="T287" s="334"/>
      <c r="U287" s="335"/>
      <c r="V287" s="247" t="e">
        <f>VLOOKUP(E287,Лист4!A$2:G$499,7)</f>
        <v>#N/A</v>
      </c>
      <c r="W287" s="52">
        <f>SUM(W280:W286)</f>
        <v>102.73897500000001</v>
      </c>
    </row>
    <row r="288" spans="1:23" ht="15.75">
      <c r="A288" s="301">
        <v>43854.333333333336</v>
      </c>
      <c r="B288" s="301">
        <v>43854.354166666664</v>
      </c>
      <c r="C288" s="301"/>
      <c r="D288" s="311">
        <v>2.0833333333333332E-2</v>
      </c>
      <c r="E288" s="329" t="s">
        <v>22</v>
      </c>
      <c r="F288" s="330"/>
      <c r="G288" s="330"/>
      <c r="H288" s="330"/>
      <c r="I288" s="330"/>
      <c r="J288" s="330"/>
      <c r="K288" s="330"/>
      <c r="L288" s="330"/>
      <c r="M288" s="330"/>
      <c r="N288" s="330"/>
      <c r="O288" s="330"/>
      <c r="P288" s="330"/>
      <c r="Q288" s="330"/>
      <c r="R288" s="330"/>
      <c r="S288" s="330"/>
      <c r="T288" s="330"/>
      <c r="U288" s="331"/>
      <c r="V288" s="247" t="e">
        <f>VLOOKUP(E288,Лист4!A$2:G$499,7)</f>
        <v>#N/A</v>
      </c>
      <c r="W288" s="247">
        <f>IF(ISNA(V288),VLOOKUP(E288,категория!A$16:C$41,3,),11.12+R288*8.333/VLOOKUP(V288,категория!A$16:C$41,2,))</f>
        <v>4.17</v>
      </c>
    </row>
    <row r="289" spans="1:23" ht="72">
      <c r="A289" s="301">
        <v>43854.354166666664</v>
      </c>
      <c r="B289" s="301">
        <v>43854.479166666664</v>
      </c>
      <c r="C289" s="301"/>
      <c r="D289" s="311">
        <v>0.125</v>
      </c>
      <c r="E289" s="302">
        <v>174</v>
      </c>
      <c r="F289" s="303" t="s">
        <v>250</v>
      </c>
      <c r="G289" s="303" t="s">
        <v>664</v>
      </c>
      <c r="H289" s="304" t="s">
        <v>293</v>
      </c>
      <c r="I289" s="305">
        <v>43858</v>
      </c>
      <c r="J289" s="306"/>
      <c r="K289" s="302" t="s">
        <v>267</v>
      </c>
      <c r="L289" s="307" t="s">
        <v>232</v>
      </c>
      <c r="M289" s="308"/>
      <c r="N289" s="303" t="s">
        <v>40</v>
      </c>
      <c r="O289" s="302">
        <v>250</v>
      </c>
      <c r="P289" s="302" t="s">
        <v>342</v>
      </c>
      <c r="Q289" s="309" t="s">
        <v>241</v>
      </c>
      <c r="R289" s="310">
        <v>4680</v>
      </c>
      <c r="S289" s="310">
        <v>4887</v>
      </c>
      <c r="T289" s="306" t="s">
        <v>232</v>
      </c>
      <c r="U289" s="310" t="s">
        <v>593</v>
      </c>
      <c r="V289" s="247" t="str">
        <f>VLOOKUP(E289,Лист4!A$2:G$499,7)</f>
        <v>картон до 250</v>
      </c>
      <c r="W289" s="247">
        <f>IF(ISNA(V289),VLOOKUP(E289,категория!A$16:C$41,3,),R289*8.333/VLOOKUP(V289,категория!A$16:C$41,2,))</f>
        <v>19.499220000000001</v>
      </c>
    </row>
    <row r="290" spans="1:23" ht="15.75">
      <c r="A290" s="301">
        <v>43854.479166666664</v>
      </c>
      <c r="B290" s="301">
        <v>43854.493055555555</v>
      </c>
      <c r="C290" s="301"/>
      <c r="D290" s="311">
        <v>2.0833333333333332E-2</v>
      </c>
      <c r="E290" s="329" t="s">
        <v>2</v>
      </c>
      <c r="F290" s="330"/>
      <c r="G290" s="330"/>
      <c r="H290" s="330"/>
      <c r="I290" s="330"/>
      <c r="J290" s="330"/>
      <c r="K290" s="330"/>
      <c r="L290" s="330"/>
      <c r="M290" s="330"/>
      <c r="N290" s="330"/>
      <c r="O290" s="330"/>
      <c r="P290" s="330"/>
      <c r="Q290" s="330"/>
      <c r="R290" s="330"/>
      <c r="S290" s="330"/>
      <c r="T290" s="330"/>
      <c r="U290" s="331"/>
      <c r="V290" s="247" t="e">
        <f>VLOOKUP(E290,Лист4!A$2:G$499,7)</f>
        <v>#N/A</v>
      </c>
      <c r="W290" s="247">
        <f>IF(ISNA(V290),VLOOKUP(E290,категория!A$16:C$41,3,),11.12+R290*8.333/VLOOKUP(V290,категория!A$16:C$41,2,))</f>
        <v>4.17</v>
      </c>
    </row>
    <row r="291" spans="1:23" ht="15.75">
      <c r="A291" s="301">
        <v>43854.493055555555</v>
      </c>
      <c r="B291" s="301">
        <v>43854.517361111109</v>
      </c>
      <c r="C291" s="301"/>
      <c r="D291" s="311">
        <v>3.4722222222222224E-2</v>
      </c>
      <c r="E291" s="329" t="s">
        <v>16</v>
      </c>
      <c r="F291" s="330"/>
      <c r="G291" s="330"/>
      <c r="H291" s="330"/>
      <c r="I291" s="330"/>
      <c r="J291" s="330"/>
      <c r="K291" s="330"/>
      <c r="L291" s="330"/>
      <c r="M291" s="330"/>
      <c r="N291" s="330"/>
      <c r="O291" s="330"/>
      <c r="P291" s="330"/>
      <c r="Q291" s="330"/>
      <c r="R291" s="330"/>
      <c r="S291" s="330"/>
      <c r="T291" s="330"/>
      <c r="U291" s="331"/>
      <c r="V291" s="247" t="e">
        <f>VLOOKUP(E291,Лист4!A$2:G$499,7)</f>
        <v>#N/A</v>
      </c>
      <c r="W291" s="247">
        <f>IF(ISNA(V291),VLOOKUP(E291,категория!A$16:C$41,3,),11.12+R291*8.333/VLOOKUP(V291,категория!A$16:C$41,2,))</f>
        <v>6.94</v>
      </c>
    </row>
    <row r="292" spans="1:23" ht="15.75">
      <c r="A292" s="301">
        <v>43854.517361111109</v>
      </c>
      <c r="B292" s="301">
        <v>43854.541666666664</v>
      </c>
      <c r="C292" s="301"/>
      <c r="D292" s="311">
        <v>2.0833333333333332E-2</v>
      </c>
      <c r="E292" s="329" t="s">
        <v>8</v>
      </c>
      <c r="F292" s="330"/>
      <c r="G292" s="330"/>
      <c r="H292" s="330"/>
      <c r="I292" s="330"/>
      <c r="J292" s="330"/>
      <c r="K292" s="330"/>
      <c r="L292" s="330"/>
      <c r="M292" s="330"/>
      <c r="N292" s="330"/>
      <c r="O292" s="330"/>
      <c r="P292" s="330"/>
      <c r="Q292" s="330"/>
      <c r="R292" s="330"/>
      <c r="S292" s="330"/>
      <c r="T292" s="330"/>
      <c r="U292" s="331"/>
      <c r="V292" s="247" t="e">
        <f>VLOOKUP(E292,Лист4!A$2:G$499,7)</f>
        <v>#N/A</v>
      </c>
      <c r="W292" s="247">
        <f>IF(ISNA(V292),VLOOKUP(E292,категория!A$16:C$41,3,),11.12+R292*8.333/VLOOKUP(V292,категория!A$16:C$41,2,))</f>
        <v>4.17</v>
      </c>
    </row>
    <row r="293" spans="1:23" ht="36">
      <c r="A293" s="301">
        <v>43854.541666666664</v>
      </c>
      <c r="B293" s="301">
        <v>43854.625</v>
      </c>
      <c r="C293" s="301"/>
      <c r="D293" s="311">
        <v>8.3333333333333329E-2</v>
      </c>
      <c r="E293" s="302">
        <v>186</v>
      </c>
      <c r="F293" s="303" t="s">
        <v>673</v>
      </c>
      <c r="G293" s="303" t="s">
        <v>674</v>
      </c>
      <c r="H293" s="304" t="s">
        <v>226</v>
      </c>
      <c r="I293" s="305">
        <v>43861</v>
      </c>
      <c r="J293" s="306"/>
      <c r="K293" s="302" t="s">
        <v>227</v>
      </c>
      <c r="L293" s="307"/>
      <c r="M293" s="308"/>
      <c r="N293" s="303" t="s">
        <v>35</v>
      </c>
      <c r="O293" s="302">
        <v>330</v>
      </c>
      <c r="P293" s="302" t="s">
        <v>272</v>
      </c>
      <c r="Q293" s="309" t="s">
        <v>229</v>
      </c>
      <c r="R293" s="310">
        <v>1040</v>
      </c>
      <c r="S293" s="310">
        <v>1305</v>
      </c>
      <c r="T293" s="306" t="s">
        <v>232</v>
      </c>
      <c r="U293" s="310" t="s">
        <v>593</v>
      </c>
      <c r="V293" s="247" t="s">
        <v>57</v>
      </c>
      <c r="W293" s="247">
        <f>IF(ISNA(V293),VLOOKUP(E293,категория!A$16:C$41,3,),11.12+R293*8.333/VLOOKUP(V293,категория!A$16:C$41,2,))</f>
        <v>15.93462222222222</v>
      </c>
    </row>
    <row r="294" spans="1:23" ht="15.75">
      <c r="A294" s="301">
        <v>43854.625</v>
      </c>
      <c r="B294" s="301">
        <v>43854.642361111109</v>
      </c>
      <c r="C294" s="301"/>
      <c r="D294" s="311">
        <v>2.0833333333333332E-2</v>
      </c>
      <c r="E294" s="329" t="s">
        <v>2</v>
      </c>
      <c r="F294" s="330"/>
      <c r="G294" s="330"/>
      <c r="H294" s="330"/>
      <c r="I294" s="330"/>
      <c r="J294" s="330"/>
      <c r="K294" s="330"/>
      <c r="L294" s="330"/>
      <c r="M294" s="330"/>
      <c r="N294" s="330"/>
      <c r="O294" s="330"/>
      <c r="P294" s="330"/>
      <c r="Q294" s="330"/>
      <c r="R294" s="330"/>
      <c r="S294" s="330"/>
      <c r="T294" s="330"/>
      <c r="U294" s="331"/>
      <c r="V294" s="247" t="e">
        <f>VLOOKUP(E294,Лист4!A$2:G$499,7)</f>
        <v>#N/A</v>
      </c>
      <c r="W294" s="247">
        <f>IF(ISNA(V294),VLOOKUP(E294,категория!A$16:C$41,3,),11.12+R294*8.333/VLOOKUP(V294,категория!A$16:C$41,2,))</f>
        <v>4.17</v>
      </c>
    </row>
    <row r="295" spans="1:23" ht="15.75">
      <c r="A295" s="301">
        <v>43854.642361111109</v>
      </c>
      <c r="B295" s="301">
        <v>43854.659722222219</v>
      </c>
      <c r="C295" s="301"/>
      <c r="D295" s="311">
        <v>1.7361111111111112E-2</v>
      </c>
      <c r="E295" s="329" t="s">
        <v>3</v>
      </c>
      <c r="F295" s="330"/>
      <c r="G295" s="330"/>
      <c r="H295" s="330"/>
      <c r="I295" s="330"/>
      <c r="J295" s="330"/>
      <c r="K295" s="330"/>
      <c r="L295" s="330"/>
      <c r="M295" s="330"/>
      <c r="N295" s="330"/>
      <c r="O295" s="330"/>
      <c r="P295" s="330"/>
      <c r="Q295" s="330"/>
      <c r="R295" s="330"/>
      <c r="S295" s="330"/>
      <c r="T295" s="330"/>
      <c r="U295" s="331"/>
      <c r="V295" s="247" t="e">
        <f>VLOOKUP(E295,Лист4!A$2:G$499,7)</f>
        <v>#N/A</v>
      </c>
      <c r="W295" s="247">
        <f>IF(ISNA(V295),VLOOKUP(E295,категория!A$16:C$41,3,),11.12+R295*8.333/VLOOKUP(V295,категория!A$16:C$41,2,))</f>
        <v>3.48</v>
      </c>
    </row>
    <row r="296" spans="1:23" ht="15.75">
      <c r="A296" s="301">
        <v>43854.659722222219</v>
      </c>
      <c r="B296" s="301">
        <v>43854.670138888891</v>
      </c>
      <c r="C296" s="301"/>
      <c r="D296" s="311">
        <v>2.0833333333333332E-2</v>
      </c>
      <c r="E296" s="329" t="s">
        <v>8</v>
      </c>
      <c r="F296" s="330"/>
      <c r="G296" s="330"/>
      <c r="H296" s="330"/>
      <c r="I296" s="330"/>
      <c r="J296" s="330"/>
      <c r="K296" s="330"/>
      <c r="L296" s="330"/>
      <c r="M296" s="330"/>
      <c r="N296" s="330"/>
      <c r="O296" s="330"/>
      <c r="P296" s="330"/>
      <c r="Q296" s="330"/>
      <c r="R296" s="330"/>
      <c r="S296" s="330"/>
      <c r="T296" s="330"/>
      <c r="U296" s="331"/>
      <c r="V296" s="247" t="e">
        <f>VLOOKUP(E296,Лист4!A$2:G$499,7)</f>
        <v>#N/A</v>
      </c>
      <c r="W296" s="247">
        <f>IF(ISNA(V296),VLOOKUP(E296,категория!A$16:C$41,3,),11.12+R296*8.333/VLOOKUP(V296,категория!A$16:C$41,2,))</f>
        <v>4.17</v>
      </c>
    </row>
    <row r="297" spans="1:23" ht="36">
      <c r="A297" s="301">
        <v>43854.670138888891</v>
      </c>
      <c r="B297" s="301">
        <v>43854.694444444445</v>
      </c>
      <c r="C297" s="301"/>
      <c r="D297" s="311">
        <v>2.4305555555555556E-2</v>
      </c>
      <c r="E297" s="302">
        <v>186</v>
      </c>
      <c r="F297" s="303" t="s">
        <v>673</v>
      </c>
      <c r="G297" s="303" t="s">
        <v>674</v>
      </c>
      <c r="H297" s="304" t="s">
        <v>273</v>
      </c>
      <c r="I297" s="305">
        <v>43861</v>
      </c>
      <c r="J297" s="306"/>
      <c r="K297" s="302" t="s">
        <v>256</v>
      </c>
      <c r="L297" s="307" t="s">
        <v>232</v>
      </c>
      <c r="M297" s="308"/>
      <c r="N297" s="303" t="s">
        <v>35</v>
      </c>
      <c r="O297" s="302">
        <v>330</v>
      </c>
      <c r="P297" s="302" t="s">
        <v>272</v>
      </c>
      <c r="Q297" s="309" t="s">
        <v>241</v>
      </c>
      <c r="R297" s="310">
        <v>1000</v>
      </c>
      <c r="S297" s="310">
        <v>1035</v>
      </c>
      <c r="T297" s="306" t="s">
        <v>232</v>
      </c>
      <c r="U297" s="310" t="s">
        <v>593</v>
      </c>
      <c r="V297" s="247" t="s">
        <v>57</v>
      </c>
      <c r="W297" s="247">
        <f>IF(ISNA(V297),VLOOKUP(E297,категория!A$16:C$41,3,),11.12/4+R297*8.333/VLOOKUP(V297,категория!A$16:C$41,2,))</f>
        <v>7.4094444444444445</v>
      </c>
    </row>
    <row r="298" spans="1:23" ht="15.75">
      <c r="A298" s="301">
        <v>43854.694444444445</v>
      </c>
      <c r="B298" s="301">
        <v>43854.708333333336</v>
      </c>
      <c r="C298" s="301"/>
      <c r="D298" s="311">
        <v>2.0833333333333332E-2</v>
      </c>
      <c r="E298" s="329" t="s">
        <v>2</v>
      </c>
      <c r="F298" s="330"/>
      <c r="G298" s="330"/>
      <c r="H298" s="330"/>
      <c r="I298" s="330"/>
      <c r="J298" s="330"/>
      <c r="K298" s="330"/>
      <c r="L298" s="330"/>
      <c r="M298" s="330"/>
      <c r="N298" s="330"/>
      <c r="O298" s="330"/>
      <c r="P298" s="330"/>
      <c r="Q298" s="330"/>
      <c r="R298" s="330"/>
      <c r="S298" s="330"/>
      <c r="T298" s="330"/>
      <c r="U298" s="331"/>
      <c r="V298" s="247" t="e">
        <f>VLOOKUP(E298,Лист4!A$2:G$499,7)</f>
        <v>#N/A</v>
      </c>
      <c r="W298" s="247">
        <f>IF(ISNA(V298),VLOOKUP(E298,категория!A$16:C$41,3,),11.12+R298*8.333/VLOOKUP(V298,категория!A$16:C$41,2,))</f>
        <v>4.17</v>
      </c>
    </row>
    <row r="299" spans="1:23" ht="15.75">
      <c r="A299" s="301">
        <v>43854.708333333336</v>
      </c>
      <c r="B299" s="301">
        <v>43854.722222222219</v>
      </c>
      <c r="C299" s="301"/>
      <c r="D299" s="311">
        <v>1.7361111111111112E-2</v>
      </c>
      <c r="E299" s="329" t="s">
        <v>3</v>
      </c>
      <c r="F299" s="330"/>
      <c r="G299" s="330"/>
      <c r="H299" s="330"/>
      <c r="I299" s="330"/>
      <c r="J299" s="330"/>
      <c r="K299" s="330"/>
      <c r="L299" s="330"/>
      <c r="M299" s="330"/>
      <c r="N299" s="330"/>
      <c r="O299" s="330"/>
      <c r="P299" s="330"/>
      <c r="Q299" s="330"/>
      <c r="R299" s="330"/>
      <c r="S299" s="330"/>
      <c r="T299" s="330"/>
      <c r="U299" s="331"/>
      <c r="V299" s="247" t="e">
        <f>VLOOKUP(E299,Лист4!A$2:G$499,7)</f>
        <v>#N/A</v>
      </c>
      <c r="W299" s="247">
        <f>IF(ISNA(V299),VLOOKUP(E299,категория!A$16:C$41,3,),11.12+R299*8.333/VLOOKUP(V299,категория!A$16:C$41,2,))</f>
        <v>3.48</v>
      </c>
    </row>
    <row r="300" spans="1:23" ht="15.75">
      <c r="A300" s="301">
        <v>43854.722222222219</v>
      </c>
      <c r="B300" s="301">
        <v>43854.736111111109</v>
      </c>
      <c r="C300" s="301"/>
      <c r="D300" s="311">
        <v>2.0833333333333332E-2</v>
      </c>
      <c r="E300" s="329" t="s">
        <v>8</v>
      </c>
      <c r="F300" s="330"/>
      <c r="G300" s="330"/>
      <c r="H300" s="330"/>
      <c r="I300" s="330"/>
      <c r="J300" s="330"/>
      <c r="K300" s="330"/>
      <c r="L300" s="330"/>
      <c r="M300" s="330"/>
      <c r="N300" s="330"/>
      <c r="O300" s="330"/>
      <c r="P300" s="330"/>
      <c r="Q300" s="330"/>
      <c r="R300" s="330"/>
      <c r="S300" s="330"/>
      <c r="T300" s="330"/>
      <c r="U300" s="331"/>
      <c r="V300" s="247" t="e">
        <f>VLOOKUP(E300,Лист4!A$2:G$499,7)</f>
        <v>#N/A</v>
      </c>
      <c r="W300" s="247">
        <f>IF(ISNA(V300),VLOOKUP(E300,категория!A$16:C$41,3,),11.12+R300*8.333/VLOOKUP(V300,категория!A$16:C$41,2,))</f>
        <v>4.17</v>
      </c>
    </row>
    <row r="301" spans="1:23" ht="60">
      <c r="A301" s="301">
        <v>43854.736111111109</v>
      </c>
      <c r="B301" s="301">
        <v>43854.791666666664</v>
      </c>
      <c r="C301" s="301"/>
      <c r="D301" s="311">
        <v>5.5555555555555552E-2</v>
      </c>
      <c r="E301" s="302">
        <v>176</v>
      </c>
      <c r="F301" s="303" t="s">
        <v>675</v>
      </c>
      <c r="G301" s="303" t="s">
        <v>676</v>
      </c>
      <c r="H301" s="304" t="s">
        <v>226</v>
      </c>
      <c r="I301" s="305">
        <v>43860</v>
      </c>
      <c r="J301" s="306"/>
      <c r="K301" s="302" t="s">
        <v>256</v>
      </c>
      <c r="L301" s="307" t="s">
        <v>232</v>
      </c>
      <c r="M301" s="308"/>
      <c r="N301" s="303" t="s">
        <v>42</v>
      </c>
      <c r="O301" s="302">
        <v>310</v>
      </c>
      <c r="P301" s="302" t="s">
        <v>228</v>
      </c>
      <c r="Q301" s="309" t="s">
        <v>229</v>
      </c>
      <c r="R301" s="310">
        <v>1725</v>
      </c>
      <c r="S301" s="310">
        <v>1964</v>
      </c>
      <c r="T301" s="306" t="s">
        <v>232</v>
      </c>
      <c r="U301" s="310" t="s">
        <v>593</v>
      </c>
      <c r="V301" s="247" t="str">
        <f>VLOOKUP(E301,Лист4!A$2:G$499,7)</f>
        <v>картон от 270</v>
      </c>
      <c r="W301" s="247">
        <f>IF(ISNA(V301),VLOOKUP(E301,категория!A$16:C$41,3,),11.12/4+R301*8.333/VLOOKUP(V301,категория!A$16:C$41,2,))</f>
        <v>10.765791666666667</v>
      </c>
    </row>
    <row r="302" spans="1:23" ht="15.75">
      <c r="A302" s="301">
        <v>43854.791666666664</v>
      </c>
      <c r="B302" s="301">
        <v>43854.798611111109</v>
      </c>
      <c r="C302" s="301"/>
      <c r="D302" s="311">
        <v>2.0833333333333332E-2</v>
      </c>
      <c r="E302" s="329" t="s">
        <v>2</v>
      </c>
      <c r="F302" s="330"/>
      <c r="G302" s="330"/>
      <c r="H302" s="330"/>
      <c r="I302" s="330"/>
      <c r="J302" s="330"/>
      <c r="K302" s="330"/>
      <c r="L302" s="330"/>
      <c r="M302" s="330"/>
      <c r="N302" s="330"/>
      <c r="O302" s="330"/>
      <c r="P302" s="330"/>
      <c r="Q302" s="330"/>
      <c r="R302" s="330"/>
      <c r="S302" s="330"/>
      <c r="T302" s="330"/>
      <c r="U302" s="331"/>
      <c r="V302" s="247" t="e">
        <f>VLOOKUP(E302,Лист4!A$2:G$499,7)</f>
        <v>#N/A</v>
      </c>
      <c r="W302" s="247">
        <f>IF(ISNA(V302),VLOOKUP(E302,категория!A$16:C$41,3,),11.12+R302*8.333/VLOOKUP(V302,категория!A$16:C$41,2,))</f>
        <v>4.17</v>
      </c>
    </row>
    <row r="303" spans="1:23" ht="15.75">
      <c r="A303" s="301">
        <v>43854.798611111109</v>
      </c>
      <c r="B303" s="301">
        <v>43854.815972222219</v>
      </c>
      <c r="C303" s="301"/>
      <c r="D303" s="311">
        <v>2.0833333333333332E-2</v>
      </c>
      <c r="E303" s="329" t="s">
        <v>2</v>
      </c>
      <c r="F303" s="330"/>
      <c r="G303" s="330"/>
      <c r="H303" s="330"/>
      <c r="I303" s="330"/>
      <c r="J303" s="330"/>
      <c r="K303" s="330"/>
      <c r="L303" s="330"/>
      <c r="M303" s="330"/>
      <c r="N303" s="330"/>
      <c r="O303" s="330"/>
      <c r="P303" s="330"/>
      <c r="Q303" s="330"/>
      <c r="R303" s="330"/>
      <c r="S303" s="330"/>
      <c r="T303" s="330"/>
      <c r="U303" s="331"/>
      <c r="V303" s="247" t="e">
        <f>VLOOKUP(E303,Лист4!A$2:G$499,7)</f>
        <v>#N/A</v>
      </c>
      <c r="W303" s="247">
        <f>IF(ISNA(V303),VLOOKUP(E303,категория!A$16:C$41,3,),11.12+R303*8.333/VLOOKUP(V303,категория!A$16:C$41,2,))</f>
        <v>4.17</v>
      </c>
    </row>
    <row r="304" spans="1:23" ht="15.75">
      <c r="A304" s="301">
        <v>43854.815972222219</v>
      </c>
      <c r="B304" s="301">
        <v>43854.833333333336</v>
      </c>
      <c r="C304" s="301"/>
      <c r="D304" s="311">
        <v>2.0833333333333332E-2</v>
      </c>
      <c r="E304" s="329" t="s">
        <v>22</v>
      </c>
      <c r="F304" s="330"/>
      <c r="G304" s="330"/>
      <c r="H304" s="330"/>
      <c r="I304" s="330"/>
      <c r="J304" s="330"/>
      <c r="K304" s="330"/>
      <c r="L304" s="330"/>
      <c r="M304" s="330"/>
      <c r="N304" s="330"/>
      <c r="O304" s="330"/>
      <c r="P304" s="330"/>
      <c r="Q304" s="330"/>
      <c r="R304" s="330"/>
      <c r="S304" s="330"/>
      <c r="T304" s="330"/>
      <c r="U304" s="331"/>
      <c r="V304" s="247" t="e">
        <f>VLOOKUP(E304,Лист4!A$2:G$499,7)</f>
        <v>#N/A</v>
      </c>
      <c r="W304" s="247">
        <f>IF(ISNA(V304),VLOOKUP(E304,категория!A$16:C$41,3,),11.12+R304*8.333/VLOOKUP(V304,категория!A$16:C$41,2,))</f>
        <v>4.17</v>
      </c>
    </row>
    <row r="305" spans="1:23" ht="15.75">
      <c r="A305" s="312">
        <v>43854.833333333336</v>
      </c>
      <c r="B305" s="332" t="s">
        <v>677</v>
      </c>
      <c r="C305" s="333"/>
      <c r="D305" s="334"/>
      <c r="E305" s="334"/>
      <c r="F305" s="334"/>
      <c r="G305" s="334"/>
      <c r="H305" s="334"/>
      <c r="I305" s="334"/>
      <c r="J305" s="334"/>
      <c r="K305" s="334"/>
      <c r="L305" s="334"/>
      <c r="M305" s="334"/>
      <c r="N305" s="334"/>
      <c r="O305" s="334"/>
      <c r="P305" s="334"/>
      <c r="Q305" s="334"/>
      <c r="R305" s="334"/>
      <c r="S305" s="334"/>
      <c r="T305" s="334"/>
      <c r="U305" s="335"/>
      <c r="V305" s="247" t="e">
        <f>VLOOKUP(E305,Лист4!A$2:G$499,7)</f>
        <v>#N/A</v>
      </c>
      <c r="W305" s="52">
        <f>SUM(W288:W304)</f>
        <v>109.20907833333335</v>
      </c>
    </row>
    <row r="306" spans="1:23" ht="15.75">
      <c r="A306" s="301">
        <v>43854.833333333336</v>
      </c>
      <c r="B306" s="301">
        <v>43854.854166666664</v>
      </c>
      <c r="C306" s="301">
        <f>B306-A306</f>
        <v>2.0833333328482695E-2</v>
      </c>
      <c r="D306" s="311">
        <v>2.0833333333333332E-2</v>
      </c>
      <c r="E306" s="329" t="s">
        <v>22</v>
      </c>
      <c r="F306" s="330"/>
      <c r="G306" s="330"/>
      <c r="H306" s="330"/>
      <c r="I306" s="330"/>
      <c r="J306" s="330"/>
      <c r="K306" s="330"/>
      <c r="L306" s="330"/>
      <c r="M306" s="330"/>
      <c r="N306" s="330"/>
      <c r="O306" s="330"/>
      <c r="P306" s="330"/>
      <c r="Q306" s="330"/>
      <c r="R306" s="330"/>
      <c r="S306" s="330"/>
      <c r="T306" s="330"/>
      <c r="U306" s="331"/>
      <c r="V306" s="247" t="e">
        <f>VLOOKUP(E306,Лист4!A$2:G$499,7)</f>
        <v>#N/A</v>
      </c>
      <c r="W306" s="247">
        <f>IF(ISNA(V306),VLOOKUP(E306,категория!A$16:C$41,3,),11.12+R306*8.333/VLOOKUP(V306,категория!A$16:C$41,2,))</f>
        <v>4.17</v>
      </c>
    </row>
    <row r="307" spans="1:23" ht="15.75">
      <c r="A307" s="301">
        <v>43854.854166666664</v>
      </c>
      <c r="B307" s="301">
        <v>43854.875</v>
      </c>
      <c r="C307" s="301">
        <f t="shared" ref="C307:C318" si="22">B307-A307</f>
        <v>2.0833333335758653E-2</v>
      </c>
      <c r="D307" s="311">
        <v>2.0833333333333332E-2</v>
      </c>
      <c r="E307" s="329" t="s">
        <v>8</v>
      </c>
      <c r="F307" s="330"/>
      <c r="G307" s="330"/>
      <c r="H307" s="330"/>
      <c r="I307" s="330"/>
      <c r="J307" s="330"/>
      <c r="K307" s="330"/>
      <c r="L307" s="330"/>
      <c r="M307" s="330"/>
      <c r="N307" s="330"/>
      <c r="O307" s="330"/>
      <c r="P307" s="330"/>
      <c r="Q307" s="330"/>
      <c r="R307" s="330"/>
      <c r="S307" s="330"/>
      <c r="T307" s="330"/>
      <c r="U307" s="331"/>
      <c r="V307" s="247" t="e">
        <f>VLOOKUP(E307,Лист4!A$2:G$499,7)</f>
        <v>#N/A</v>
      </c>
      <c r="W307" s="247">
        <f>IF(ISNA(V307),VLOOKUP(E307,категория!A$16:C$41,3,),11.12+R307*8.333/VLOOKUP(V307,категория!A$16:C$41,2,))</f>
        <v>4.17</v>
      </c>
    </row>
    <row r="308" spans="1:23" ht="48">
      <c r="A308" s="301">
        <v>43854.875</v>
      </c>
      <c r="B308" s="301">
        <v>43854.927083333336</v>
      </c>
      <c r="C308" s="301">
        <f t="shared" si="22"/>
        <v>5.2083333335758653E-2</v>
      </c>
      <c r="D308" s="311">
        <v>5.2083333333333336E-2</v>
      </c>
      <c r="E308" s="302">
        <v>166</v>
      </c>
      <c r="F308" s="303" t="s">
        <v>532</v>
      </c>
      <c r="G308" s="303" t="s">
        <v>533</v>
      </c>
      <c r="H308" s="304" t="s">
        <v>273</v>
      </c>
      <c r="I308" s="305">
        <v>43858</v>
      </c>
      <c r="J308" s="306"/>
      <c r="K308" s="302" t="s">
        <v>256</v>
      </c>
      <c r="L308" s="307" t="s">
        <v>232</v>
      </c>
      <c r="M308" s="308"/>
      <c r="N308" s="303" t="s">
        <v>318</v>
      </c>
      <c r="O308" s="302"/>
      <c r="P308" s="302" t="s">
        <v>311</v>
      </c>
      <c r="Q308" s="309" t="s">
        <v>241</v>
      </c>
      <c r="R308" s="310">
        <v>2145</v>
      </c>
      <c r="S308" s="310">
        <v>2040</v>
      </c>
      <c r="T308" s="306" t="s">
        <v>232</v>
      </c>
      <c r="U308" s="310" t="s">
        <v>36</v>
      </c>
      <c r="V308" s="247" t="s">
        <v>60</v>
      </c>
      <c r="W308" s="247">
        <f>IF(ISNA(V308),VLOOKUP(E308,категория!A$16:C$41,3,),11.12/4+R308*8.333/VLOOKUP(V308,категория!A$16:C$41,2,))</f>
        <v>11.7171425</v>
      </c>
    </row>
    <row r="309" spans="1:23" ht="15.75">
      <c r="A309" s="301">
        <v>43854.927083333336</v>
      </c>
      <c r="B309" s="301">
        <v>43854.930555555555</v>
      </c>
      <c r="C309" s="301">
        <f t="shared" si="22"/>
        <v>3.4722222189884633E-3</v>
      </c>
      <c r="D309" s="311">
        <v>2.0833333333333332E-2</v>
      </c>
      <c r="E309" s="329" t="s">
        <v>2</v>
      </c>
      <c r="F309" s="330"/>
      <c r="G309" s="330"/>
      <c r="H309" s="330"/>
      <c r="I309" s="330"/>
      <c r="J309" s="330"/>
      <c r="K309" s="330"/>
      <c r="L309" s="330"/>
      <c r="M309" s="330"/>
      <c r="N309" s="330"/>
      <c r="O309" s="330"/>
      <c r="P309" s="330"/>
      <c r="Q309" s="330"/>
      <c r="R309" s="330"/>
      <c r="S309" s="330"/>
      <c r="T309" s="330"/>
      <c r="U309" s="331"/>
      <c r="V309" s="247" t="e">
        <f>VLOOKUP(E309,Лист4!A$2:G$499,7)</f>
        <v>#N/A</v>
      </c>
      <c r="W309" s="247">
        <f>IF(ISNA(V309),VLOOKUP(E309,категория!A$16:C$41,3,),11.12+R309*8.333/VLOOKUP(V309,категория!A$16:C$41,2,))</f>
        <v>4.17</v>
      </c>
    </row>
    <row r="310" spans="1:23" ht="48">
      <c r="A310" s="301">
        <v>43854.930555555555</v>
      </c>
      <c r="B310" s="301">
        <v>43854.972222222219</v>
      </c>
      <c r="C310" s="301">
        <f t="shared" si="22"/>
        <v>4.1666666664241347E-2</v>
      </c>
      <c r="D310" s="311">
        <v>4.1666666666666664E-2</v>
      </c>
      <c r="E310" s="302">
        <v>167</v>
      </c>
      <c r="F310" s="303" t="s">
        <v>532</v>
      </c>
      <c r="G310" s="303" t="s">
        <v>534</v>
      </c>
      <c r="H310" s="304" t="s">
        <v>273</v>
      </c>
      <c r="I310" s="305">
        <v>43858</v>
      </c>
      <c r="J310" s="306"/>
      <c r="K310" s="302" t="s">
        <v>256</v>
      </c>
      <c r="L310" s="307" t="s">
        <v>232</v>
      </c>
      <c r="M310" s="308"/>
      <c r="N310" s="303" t="s">
        <v>318</v>
      </c>
      <c r="O310" s="302"/>
      <c r="P310" s="302" t="s">
        <v>311</v>
      </c>
      <c r="Q310" s="309" t="s">
        <v>241</v>
      </c>
      <c r="R310" s="310">
        <v>2065</v>
      </c>
      <c r="S310" s="310">
        <v>2040</v>
      </c>
      <c r="T310" s="306" t="s">
        <v>232</v>
      </c>
      <c r="U310" s="310" t="s">
        <v>36</v>
      </c>
      <c r="V310" s="247" t="s">
        <v>60</v>
      </c>
      <c r="W310" s="247">
        <f>IF(ISNA(V310),VLOOKUP(E310,категория!A$16:C$41,3,),11.12/4+R310*8.333/VLOOKUP(V310,категория!A$16:C$41,2,))</f>
        <v>11.383822499999999</v>
      </c>
    </row>
    <row r="311" spans="1:23" ht="15.75">
      <c r="A311" s="301">
        <v>43854.972222222219</v>
      </c>
      <c r="B311" s="301">
        <v>43854.979166666664</v>
      </c>
      <c r="C311" s="301">
        <f t="shared" si="22"/>
        <v>6.9444444452528842E-3</v>
      </c>
      <c r="D311" s="311">
        <v>2.0833333333333332E-2</v>
      </c>
      <c r="E311" s="329" t="s">
        <v>2</v>
      </c>
      <c r="F311" s="330"/>
      <c r="G311" s="330"/>
      <c r="H311" s="330"/>
      <c r="I311" s="330"/>
      <c r="J311" s="330"/>
      <c r="K311" s="330"/>
      <c r="L311" s="330"/>
      <c r="M311" s="330"/>
      <c r="N311" s="330"/>
      <c r="O311" s="330"/>
      <c r="P311" s="330"/>
      <c r="Q311" s="330"/>
      <c r="R311" s="330"/>
      <c r="S311" s="330"/>
      <c r="T311" s="330"/>
      <c r="U311" s="331"/>
      <c r="V311" s="247" t="e">
        <f>VLOOKUP(E311,Лист4!A$2:G$499,7)</f>
        <v>#N/A</v>
      </c>
      <c r="W311" s="247">
        <f>IF(ISNA(V311),VLOOKUP(E311,категория!A$16:C$41,3,),11.12+R311*8.333/VLOOKUP(V311,категория!A$16:C$41,2,))</f>
        <v>4.17</v>
      </c>
    </row>
    <row r="312" spans="1:23" ht="15.75">
      <c r="A312" s="301">
        <v>43854.979166666664</v>
      </c>
      <c r="B312" s="301">
        <v>43855.055555555555</v>
      </c>
      <c r="C312" s="301">
        <f t="shared" si="22"/>
        <v>7.6388888890505768E-2</v>
      </c>
      <c r="D312" s="311">
        <v>6.9444444444444434E-2</v>
      </c>
      <c r="E312" s="329" t="s">
        <v>18</v>
      </c>
      <c r="F312" s="330"/>
      <c r="G312" s="330"/>
      <c r="H312" s="330"/>
      <c r="I312" s="330"/>
      <c r="J312" s="330"/>
      <c r="K312" s="330"/>
      <c r="L312" s="330"/>
      <c r="M312" s="330"/>
      <c r="N312" s="330"/>
      <c r="O312" s="330"/>
      <c r="P312" s="330"/>
      <c r="Q312" s="330"/>
      <c r="R312" s="330"/>
      <c r="S312" s="330"/>
      <c r="T312" s="330"/>
      <c r="U312" s="331"/>
      <c r="V312" s="247" t="e">
        <f>VLOOKUP(E312,Лист4!A$2:G$499,7)</f>
        <v>#N/A</v>
      </c>
      <c r="W312" s="247">
        <f>IF(ISNA(V312),VLOOKUP(E312,категория!A$16:C$41,3,),11.12+R312*8.333/VLOOKUP(V312,категория!A$16:C$41,2,))</f>
        <v>13.9</v>
      </c>
    </row>
    <row r="313" spans="1:23" ht="15.75">
      <c r="A313" s="301">
        <v>43855.055555555555</v>
      </c>
      <c r="B313" s="301">
        <v>43855.076388888891</v>
      </c>
      <c r="C313" s="301">
        <f t="shared" si="22"/>
        <v>2.0833333335758653E-2</v>
      </c>
      <c r="D313" s="311">
        <v>2.0833333333333332E-2</v>
      </c>
      <c r="E313" s="329" t="s">
        <v>23</v>
      </c>
      <c r="F313" s="330"/>
      <c r="G313" s="330"/>
      <c r="H313" s="330"/>
      <c r="I313" s="330"/>
      <c r="J313" s="330"/>
      <c r="K313" s="330"/>
      <c r="L313" s="330"/>
      <c r="M313" s="330"/>
      <c r="N313" s="330"/>
      <c r="O313" s="330"/>
      <c r="P313" s="330"/>
      <c r="Q313" s="330"/>
      <c r="R313" s="330"/>
      <c r="S313" s="330"/>
      <c r="T313" s="330"/>
      <c r="U313" s="331"/>
      <c r="V313" s="247" t="e">
        <f>VLOOKUP(E313,Лист4!A$2:G$499,7)</f>
        <v>#N/A</v>
      </c>
      <c r="W313" s="247">
        <f>IF(ISNA(V313),VLOOKUP(E313,категория!A$16:C$41,3,),11.12+R313*8.333/VLOOKUP(V313,категория!A$16:C$41,2,))</f>
        <v>2.78</v>
      </c>
    </row>
    <row r="314" spans="1:23" ht="15.75">
      <c r="A314" s="301">
        <v>43855.076388888891</v>
      </c>
      <c r="B314" s="301">
        <v>43855.125</v>
      </c>
      <c r="C314" s="301">
        <f t="shared" si="22"/>
        <v>4.8611111109494232E-2</v>
      </c>
      <c r="D314" s="311">
        <v>4.1666666666666664E-2</v>
      </c>
      <c r="E314" s="329" t="s">
        <v>28</v>
      </c>
      <c r="F314" s="330"/>
      <c r="G314" s="330"/>
      <c r="H314" s="330"/>
      <c r="I314" s="330"/>
      <c r="J314" s="330"/>
      <c r="K314" s="330"/>
      <c r="L314" s="330"/>
      <c r="M314" s="330"/>
      <c r="N314" s="330"/>
      <c r="O314" s="330"/>
      <c r="P314" s="330"/>
      <c r="Q314" s="330"/>
      <c r="R314" s="330"/>
      <c r="S314" s="330"/>
      <c r="T314" s="330"/>
      <c r="U314" s="331"/>
      <c r="V314" s="247" t="e">
        <f>VLOOKUP(E314,Лист4!A$2:G$499,7)</f>
        <v>#N/A</v>
      </c>
      <c r="W314" s="247">
        <f>8.333</f>
        <v>8.3330000000000002</v>
      </c>
    </row>
    <row r="315" spans="1:23" ht="15.75">
      <c r="A315" s="301">
        <v>43855.125</v>
      </c>
      <c r="B315" s="301">
        <v>43855.145833333336</v>
      </c>
      <c r="C315" s="301">
        <f t="shared" si="22"/>
        <v>2.0833333335758653E-2</v>
      </c>
      <c r="D315" s="311">
        <v>2.0833333333333332E-2</v>
      </c>
      <c r="E315" s="329" t="s">
        <v>8</v>
      </c>
      <c r="F315" s="330"/>
      <c r="G315" s="330"/>
      <c r="H315" s="330"/>
      <c r="I315" s="330"/>
      <c r="J315" s="330"/>
      <c r="K315" s="330"/>
      <c r="L315" s="330"/>
      <c r="M315" s="330"/>
      <c r="N315" s="330"/>
      <c r="O315" s="330"/>
      <c r="P315" s="330"/>
      <c r="Q315" s="330"/>
      <c r="R315" s="330"/>
      <c r="S315" s="330"/>
      <c r="T315" s="330"/>
      <c r="U315" s="331"/>
      <c r="V315" s="247" t="e">
        <f>VLOOKUP(E315,Лист4!A$2:G$499,7)</f>
        <v>#N/A</v>
      </c>
      <c r="W315" s="247">
        <f>IF(ISNA(V315),VLOOKUP(E315,категория!A$16:C$41,3,),11.12+R315*8.333/VLOOKUP(V315,категория!A$16:C$41,2,))</f>
        <v>4.17</v>
      </c>
    </row>
    <row r="316" spans="1:23" ht="36">
      <c r="A316" s="301">
        <v>43855.145833333336</v>
      </c>
      <c r="B316" s="301">
        <v>43855.180555555555</v>
      </c>
      <c r="C316" s="301">
        <f t="shared" si="22"/>
        <v>3.4722222218988463E-2</v>
      </c>
      <c r="D316" s="311">
        <v>3.4722222222222224E-2</v>
      </c>
      <c r="E316" s="302">
        <v>214</v>
      </c>
      <c r="F316" s="303" t="s">
        <v>620</v>
      </c>
      <c r="G316" s="303" t="s">
        <v>678</v>
      </c>
      <c r="H316" s="304" t="s">
        <v>258</v>
      </c>
      <c r="I316" s="305">
        <v>43868</v>
      </c>
      <c r="J316" s="306"/>
      <c r="K316" s="302" t="s">
        <v>227</v>
      </c>
      <c r="L316" s="307" t="s">
        <v>232</v>
      </c>
      <c r="M316" s="308"/>
      <c r="N316" s="303" t="s">
        <v>35</v>
      </c>
      <c r="O316" s="302">
        <v>215</v>
      </c>
      <c r="P316" s="302" t="s">
        <v>236</v>
      </c>
      <c r="Q316" s="309" t="s">
        <v>229</v>
      </c>
      <c r="R316" s="310">
        <v>5470</v>
      </c>
      <c r="S316" s="310">
        <v>2877</v>
      </c>
      <c r="T316" s="306" t="s">
        <v>232</v>
      </c>
      <c r="U316" s="310" t="s">
        <v>36</v>
      </c>
      <c r="V316" s="247" t="s">
        <v>60</v>
      </c>
      <c r="W316" s="247">
        <f>IF(ISNA(V316),VLOOKUP(E316,категория!A$16:C$41,3,),11.12+R316*8.333/VLOOKUP(V316,категория!A$16:C$41,2,))</f>
        <v>33.910755000000002</v>
      </c>
    </row>
    <row r="317" spans="1:23" ht="26.25" customHeight="1">
      <c r="A317" s="301">
        <v>43855.180555555555</v>
      </c>
      <c r="B317" s="301">
        <v>43855.208333333336</v>
      </c>
      <c r="C317" s="301">
        <f t="shared" si="22"/>
        <v>2.7777777781011537E-2</v>
      </c>
      <c r="D317" s="311">
        <v>4.1666666666666664E-2</v>
      </c>
      <c r="E317" s="329" t="s">
        <v>71</v>
      </c>
      <c r="F317" s="330"/>
      <c r="G317" s="330"/>
      <c r="H317" s="330"/>
      <c r="I317" s="330"/>
      <c r="J317" s="330"/>
      <c r="K317" s="330"/>
      <c r="L317" s="330"/>
      <c r="M317" s="330"/>
      <c r="N317" s="330"/>
      <c r="O317" s="330"/>
      <c r="P317" s="330"/>
      <c r="Q317" s="330"/>
      <c r="R317" s="330"/>
      <c r="S317" s="330"/>
      <c r="T317" s="330"/>
      <c r="U317" s="331"/>
      <c r="V317" s="247" t="e">
        <f>VLOOKUP(E317,Лист4!A$2:G$499,7)</f>
        <v>#N/A</v>
      </c>
      <c r="W317" s="247">
        <f>IF(ISNA(V317),VLOOKUP(E317,категория!A$16:C$41,3,),11.12+R317*8.333/VLOOKUP(V317,категория!A$16:C$41,2,))</f>
        <v>8.3330000000000002</v>
      </c>
    </row>
    <row r="318" spans="1:23" ht="15.75">
      <c r="A318" s="301">
        <v>43855.208333333336</v>
      </c>
      <c r="B318" s="301">
        <v>43855.333333333336</v>
      </c>
      <c r="C318" s="301">
        <f t="shared" si="22"/>
        <v>0.125</v>
      </c>
      <c r="D318" s="311">
        <v>4.1666666666666664E-2</v>
      </c>
      <c r="E318" s="329" t="s">
        <v>28</v>
      </c>
      <c r="F318" s="330"/>
      <c r="G318" s="330"/>
      <c r="H318" s="330"/>
      <c r="I318" s="330"/>
      <c r="J318" s="330"/>
      <c r="K318" s="330"/>
      <c r="L318" s="330"/>
      <c r="M318" s="330"/>
      <c r="N318" s="330"/>
      <c r="O318" s="330"/>
      <c r="P318" s="330"/>
      <c r="Q318" s="330"/>
      <c r="R318" s="330"/>
      <c r="S318" s="330"/>
      <c r="T318" s="330"/>
      <c r="U318" s="331"/>
      <c r="V318" s="247" t="e">
        <f>VLOOKUP(E318,Лист4!A$2:G$499,7)</f>
        <v>#N/A</v>
      </c>
      <c r="W318" s="247">
        <f>3*8.3333</f>
        <v>24.999899999999997</v>
      </c>
    </row>
    <row r="319" spans="1:23" ht="15.75">
      <c r="A319" s="312">
        <v>43855.333333333336</v>
      </c>
      <c r="B319" s="332" t="s">
        <v>679</v>
      </c>
      <c r="C319" s="333"/>
      <c r="D319" s="334"/>
      <c r="E319" s="334"/>
      <c r="F319" s="334"/>
      <c r="G319" s="334"/>
      <c r="H319" s="334"/>
      <c r="I319" s="334"/>
      <c r="J319" s="334"/>
      <c r="K319" s="334"/>
      <c r="L319" s="334"/>
      <c r="M319" s="334"/>
      <c r="N319" s="334"/>
      <c r="O319" s="334"/>
      <c r="P319" s="334"/>
      <c r="Q319" s="334"/>
      <c r="R319" s="334"/>
      <c r="S319" s="334"/>
      <c r="T319" s="334"/>
      <c r="U319" s="335"/>
      <c r="V319" s="247" t="e">
        <f>VLOOKUP(E319,Лист4!A$2:G$499,7)</f>
        <v>#N/A</v>
      </c>
      <c r="W319" s="52">
        <f>SUM(W306:W318)</f>
        <v>136.20761999999999</v>
      </c>
    </row>
    <row r="320" spans="1:23" ht="15.75">
      <c r="A320" s="301">
        <v>43855.333333333336</v>
      </c>
      <c r="B320" s="301">
        <v>43855.354166666664</v>
      </c>
      <c r="C320" s="301">
        <f>B320-A320</f>
        <v>2.0833333328482695E-2</v>
      </c>
      <c r="D320" s="311">
        <v>2.0833333333333332E-2</v>
      </c>
      <c r="E320" s="329" t="s">
        <v>22</v>
      </c>
      <c r="F320" s="330"/>
      <c r="G320" s="330"/>
      <c r="H320" s="330"/>
      <c r="I320" s="330"/>
      <c r="J320" s="330"/>
      <c r="K320" s="330"/>
      <c r="L320" s="330"/>
      <c r="M320" s="330"/>
      <c r="N320" s="330"/>
      <c r="O320" s="330"/>
      <c r="P320" s="330"/>
      <c r="Q320" s="330"/>
      <c r="R320" s="330"/>
      <c r="S320" s="330"/>
      <c r="T320" s="330"/>
      <c r="U320" s="331"/>
      <c r="V320" s="247" t="e">
        <f>VLOOKUP(E320,Лист4!A$2:G$499,7)</f>
        <v>#N/A</v>
      </c>
      <c r="W320" s="247">
        <f>IF(ISNA(V320),VLOOKUP(E320,категория!A$16:C$41,3,),11.12+R320*8.333/VLOOKUP(V320,категория!A$16:C$41,2,))</f>
        <v>4.17</v>
      </c>
    </row>
    <row r="321" spans="1:23" ht="15.75">
      <c r="A321" s="301">
        <v>43855.354166666664</v>
      </c>
      <c r="B321" s="301">
        <v>43855.375</v>
      </c>
      <c r="C321" s="301">
        <f t="shared" ref="C321:C328" si="23">B321-A321</f>
        <v>2.0833333335758653E-2</v>
      </c>
      <c r="D321" s="311">
        <v>4.1666666666666664E-2</v>
      </c>
      <c r="E321" s="329" t="s">
        <v>28</v>
      </c>
      <c r="F321" s="330"/>
      <c r="G321" s="330"/>
      <c r="H321" s="330"/>
      <c r="I321" s="330"/>
      <c r="J321" s="330"/>
      <c r="K321" s="330"/>
      <c r="L321" s="330"/>
      <c r="M321" s="330"/>
      <c r="N321" s="330"/>
      <c r="O321" s="330"/>
      <c r="P321" s="330"/>
      <c r="Q321" s="330"/>
      <c r="R321" s="330"/>
      <c r="S321" s="330"/>
      <c r="T321" s="330"/>
      <c r="U321" s="331"/>
      <c r="V321" s="247" t="e">
        <f>VLOOKUP(E321,Лист4!A$2:G$499,7)</f>
        <v>#N/A</v>
      </c>
      <c r="W321" s="247">
        <f>8.33*0.5</f>
        <v>4.165</v>
      </c>
    </row>
    <row r="322" spans="1:23" ht="36">
      <c r="A322" s="301">
        <v>43855.375</v>
      </c>
      <c r="B322" s="301">
        <v>43855.4375</v>
      </c>
      <c r="C322" s="301">
        <f t="shared" si="23"/>
        <v>6.25E-2</v>
      </c>
      <c r="D322" s="311">
        <v>6.25E-2</v>
      </c>
      <c r="E322" s="302">
        <v>214</v>
      </c>
      <c r="F322" s="303" t="s">
        <v>620</v>
      </c>
      <c r="G322" s="303" t="s">
        <v>678</v>
      </c>
      <c r="H322" s="304" t="s">
        <v>259</v>
      </c>
      <c r="I322" s="305">
        <v>43868</v>
      </c>
      <c r="J322" s="306"/>
      <c r="K322" s="302" t="s">
        <v>227</v>
      </c>
      <c r="L322" s="307" t="s">
        <v>232</v>
      </c>
      <c r="M322" s="308"/>
      <c r="N322" s="303" t="s">
        <v>35</v>
      </c>
      <c r="O322" s="302">
        <v>215</v>
      </c>
      <c r="P322" s="302" t="s">
        <v>236</v>
      </c>
      <c r="Q322" s="309" t="s">
        <v>229</v>
      </c>
      <c r="R322" s="310">
        <v>2355</v>
      </c>
      <c r="S322" s="310">
        <v>5179</v>
      </c>
      <c r="T322" s="306" t="s">
        <v>232</v>
      </c>
      <c r="U322" s="310" t="s">
        <v>593</v>
      </c>
      <c r="V322" s="247" t="s">
        <v>60</v>
      </c>
      <c r="W322" s="247">
        <f>IF(ISNA(V322),VLOOKUP(E322,категория!A$16:C$41,3,),R322*8.333/VLOOKUP(V322,категория!A$16:C$41,2,))</f>
        <v>9.8121074999999998</v>
      </c>
    </row>
    <row r="323" spans="1:23" ht="15.75">
      <c r="A323" s="301">
        <v>43855.4375</v>
      </c>
      <c r="B323" s="301">
        <v>43855.458333333336</v>
      </c>
      <c r="C323" s="301">
        <f t="shared" si="23"/>
        <v>2.0833333335758653E-2</v>
      </c>
      <c r="D323" s="311">
        <v>2.0833333333333332E-2</v>
      </c>
      <c r="E323" s="329" t="s">
        <v>2</v>
      </c>
      <c r="F323" s="330"/>
      <c r="G323" s="330"/>
      <c r="H323" s="330"/>
      <c r="I323" s="330"/>
      <c r="J323" s="330"/>
      <c r="K323" s="330"/>
      <c r="L323" s="330"/>
      <c r="M323" s="330"/>
      <c r="N323" s="330"/>
      <c r="O323" s="330"/>
      <c r="P323" s="330"/>
      <c r="Q323" s="330"/>
      <c r="R323" s="330"/>
      <c r="S323" s="330"/>
      <c r="T323" s="330"/>
      <c r="U323" s="331"/>
      <c r="V323" s="247" t="e">
        <f>VLOOKUP(E323,Лист4!A$2:G$499,7)</f>
        <v>#N/A</v>
      </c>
      <c r="W323" s="247">
        <f>IF(ISNA(V323),VLOOKUP(E323,категория!A$16:C$41,3,),11.12+R323*8.333/VLOOKUP(V323,категория!A$16:C$41,2,))</f>
        <v>4.17</v>
      </c>
    </row>
    <row r="324" spans="1:23" ht="15.75">
      <c r="A324" s="301">
        <v>43855.458333333336</v>
      </c>
      <c r="B324" s="301">
        <v>43855.493055555555</v>
      </c>
      <c r="C324" s="301">
        <f t="shared" si="23"/>
        <v>3.4722222218988463E-2</v>
      </c>
      <c r="D324" s="311">
        <v>1.7361111111111112E-2</v>
      </c>
      <c r="E324" s="329" t="s">
        <v>3</v>
      </c>
      <c r="F324" s="330"/>
      <c r="G324" s="330"/>
      <c r="H324" s="330"/>
      <c r="I324" s="330"/>
      <c r="J324" s="330"/>
      <c r="K324" s="330"/>
      <c r="L324" s="330"/>
      <c r="M324" s="330"/>
      <c r="N324" s="330"/>
      <c r="O324" s="330"/>
      <c r="P324" s="330"/>
      <c r="Q324" s="330"/>
      <c r="R324" s="330"/>
      <c r="S324" s="330"/>
      <c r="T324" s="330"/>
      <c r="U324" s="331"/>
      <c r="V324" s="247" t="e">
        <f>VLOOKUP(E324,Лист4!A$2:G$499,7)</f>
        <v>#N/A</v>
      </c>
      <c r="W324" s="247">
        <f>IF(ISNA(V324),VLOOKUP(E324,категория!A$16:C$41,3,),11.12+R324*8.333/VLOOKUP(V324,категория!A$16:C$41,2,))</f>
        <v>3.48</v>
      </c>
    </row>
    <row r="325" spans="1:23" ht="15.75">
      <c r="A325" s="301">
        <v>43855.493055555555</v>
      </c>
      <c r="B325" s="301">
        <v>43855.527777777781</v>
      </c>
      <c r="C325" s="301">
        <f t="shared" si="23"/>
        <v>3.4722222226264421E-2</v>
      </c>
      <c r="D325" s="311">
        <v>2.0833333333333332E-2</v>
      </c>
      <c r="E325" s="329" t="s">
        <v>8</v>
      </c>
      <c r="F325" s="330"/>
      <c r="G325" s="330"/>
      <c r="H325" s="330"/>
      <c r="I325" s="330"/>
      <c r="J325" s="330"/>
      <c r="K325" s="330"/>
      <c r="L325" s="330"/>
      <c r="M325" s="330"/>
      <c r="N325" s="330"/>
      <c r="O325" s="330"/>
      <c r="P325" s="330"/>
      <c r="Q325" s="330"/>
      <c r="R325" s="330"/>
      <c r="S325" s="330"/>
      <c r="T325" s="330"/>
      <c r="U325" s="331"/>
      <c r="V325" s="247" t="e">
        <f>VLOOKUP(E325,Лист4!A$2:G$499,7)</f>
        <v>#N/A</v>
      </c>
      <c r="W325" s="247">
        <f>IF(ISNA(V325),VLOOKUP(E325,категория!A$16:C$41,3,),11.12+R325*8.333/VLOOKUP(V325,категория!A$16:C$41,2,))</f>
        <v>4.17</v>
      </c>
    </row>
    <row r="326" spans="1:23" ht="36">
      <c r="A326" s="301">
        <v>43855.527777777781</v>
      </c>
      <c r="B326" s="301">
        <v>43855.618055555555</v>
      </c>
      <c r="C326" s="301">
        <f t="shared" si="23"/>
        <v>9.0277777773735579E-2</v>
      </c>
      <c r="D326" s="311">
        <v>9.0277777777777776E-2</v>
      </c>
      <c r="E326" s="302">
        <v>214</v>
      </c>
      <c r="F326" s="303" t="s">
        <v>620</v>
      </c>
      <c r="G326" s="303" t="s">
        <v>678</v>
      </c>
      <c r="H326" s="304" t="s">
        <v>273</v>
      </c>
      <c r="I326" s="305">
        <v>43868</v>
      </c>
      <c r="J326" s="306"/>
      <c r="K326" s="302" t="s">
        <v>256</v>
      </c>
      <c r="L326" s="307" t="s">
        <v>232</v>
      </c>
      <c r="M326" s="308"/>
      <c r="N326" s="303" t="s">
        <v>35</v>
      </c>
      <c r="O326" s="302"/>
      <c r="P326" s="302" t="s">
        <v>236</v>
      </c>
      <c r="Q326" s="309" t="s">
        <v>241</v>
      </c>
      <c r="R326" s="310">
        <v>7825</v>
      </c>
      <c r="S326" s="310">
        <v>7715</v>
      </c>
      <c r="T326" s="306" t="s">
        <v>232</v>
      </c>
      <c r="U326" s="310" t="s">
        <v>593</v>
      </c>
      <c r="V326" s="247" t="s">
        <v>60</v>
      </c>
      <c r="W326" s="247">
        <f>IF(ISNA(V326),VLOOKUP(E326,категория!A$16:C$41,3,),11.12/4+R326*8.333/VLOOKUP(V326,категория!A$16:C$41,2,))</f>
        <v>35.382862500000002</v>
      </c>
    </row>
    <row r="327" spans="1:23" ht="15.75">
      <c r="A327" s="301">
        <v>43855.618055555555</v>
      </c>
      <c r="B327" s="301">
        <v>43855.635416666664</v>
      </c>
      <c r="C327" s="301">
        <f t="shared" si="23"/>
        <v>1.7361111109494232E-2</v>
      </c>
      <c r="D327" s="311">
        <v>2.0833333333333332E-2</v>
      </c>
      <c r="E327" s="329" t="s">
        <v>2</v>
      </c>
      <c r="F327" s="330"/>
      <c r="G327" s="330"/>
      <c r="H327" s="330"/>
      <c r="I327" s="330"/>
      <c r="J327" s="330"/>
      <c r="K327" s="330"/>
      <c r="L327" s="330"/>
      <c r="M327" s="330"/>
      <c r="N327" s="330"/>
      <c r="O327" s="330"/>
      <c r="P327" s="330"/>
      <c r="Q327" s="330"/>
      <c r="R327" s="330"/>
      <c r="S327" s="330"/>
      <c r="T327" s="330"/>
      <c r="U327" s="331"/>
      <c r="V327" s="247" t="e">
        <f>VLOOKUP(E327,Лист4!A$2:G$499,7)</f>
        <v>#N/A</v>
      </c>
      <c r="W327" s="247">
        <f>IF(ISNA(V327),VLOOKUP(E327,категория!A$16:C$41,3,),11.12+R327*8.333/VLOOKUP(V327,категория!A$16:C$41,2,))</f>
        <v>4.17</v>
      </c>
    </row>
    <row r="328" spans="1:23" ht="15.75">
      <c r="A328" s="301">
        <v>43855.635416666664</v>
      </c>
      <c r="B328" s="301">
        <v>43855.65625</v>
      </c>
      <c r="C328" s="301">
        <f t="shared" si="23"/>
        <v>2.0833333335758653E-2</v>
      </c>
      <c r="D328" s="311">
        <v>1.7361111111111112E-2</v>
      </c>
      <c r="E328" s="329" t="s">
        <v>3</v>
      </c>
      <c r="F328" s="330"/>
      <c r="G328" s="330"/>
      <c r="H328" s="330"/>
      <c r="I328" s="330"/>
      <c r="J328" s="330"/>
      <c r="K328" s="330"/>
      <c r="L328" s="330"/>
      <c r="M328" s="330"/>
      <c r="N328" s="330"/>
      <c r="O328" s="330"/>
      <c r="P328" s="330"/>
      <c r="Q328" s="330"/>
      <c r="R328" s="330"/>
      <c r="S328" s="330"/>
      <c r="T328" s="330"/>
      <c r="U328" s="331"/>
      <c r="V328" s="247" t="e">
        <f>VLOOKUP(E328,Лист4!A$2:G$499,7)</f>
        <v>#N/A</v>
      </c>
      <c r="W328" s="247">
        <f>IF(ISNA(V328),VLOOKUP(E328,категория!A$16:C$41,3,),11.12+R328*8.333/VLOOKUP(V328,категория!A$16:C$41,2,))</f>
        <v>3.48</v>
      </c>
    </row>
    <row r="329" spans="1:23" ht="15.75">
      <c r="A329" s="312">
        <v>43855.833333333336</v>
      </c>
      <c r="B329" s="332" t="s">
        <v>680</v>
      </c>
      <c r="C329" s="333"/>
      <c r="D329" s="334"/>
      <c r="E329" s="334"/>
      <c r="F329" s="334"/>
      <c r="G329" s="334"/>
      <c r="H329" s="334"/>
      <c r="I329" s="334"/>
      <c r="J329" s="334"/>
      <c r="K329" s="334"/>
      <c r="L329" s="334"/>
      <c r="M329" s="334"/>
      <c r="N329" s="334"/>
      <c r="O329" s="334"/>
      <c r="P329" s="334"/>
      <c r="Q329" s="334"/>
      <c r="R329" s="334"/>
      <c r="S329" s="334"/>
      <c r="T329" s="334"/>
      <c r="U329" s="335"/>
      <c r="V329" s="247" t="e">
        <f>VLOOKUP(E329,Лист4!A$2:G$499,7)</f>
        <v>#N/A</v>
      </c>
      <c r="W329" s="52">
        <f>SUM(W320:W328)</f>
        <v>72.999970000000005</v>
      </c>
    </row>
    <row r="330" spans="1:23" ht="15.75">
      <c r="A330" s="312">
        <v>43856.333333333336</v>
      </c>
      <c r="B330" s="332" t="s">
        <v>681</v>
      </c>
      <c r="C330" s="333"/>
      <c r="D330" s="334"/>
      <c r="E330" s="334"/>
      <c r="F330" s="334"/>
      <c r="G330" s="334"/>
      <c r="H330" s="334"/>
      <c r="I330" s="334"/>
      <c r="J330" s="334"/>
      <c r="K330" s="334"/>
      <c r="L330" s="334"/>
      <c r="M330" s="334"/>
      <c r="N330" s="334"/>
      <c r="O330" s="334"/>
      <c r="P330" s="334"/>
      <c r="Q330" s="334"/>
      <c r="R330" s="334"/>
      <c r="S330" s="334"/>
      <c r="T330" s="334"/>
      <c r="U330" s="335"/>
      <c r="V330" s="247" t="e">
        <f>VLOOKUP(E330,Лист4!A$2:G$499,7)</f>
        <v>#N/A</v>
      </c>
      <c r="W330" s="247" t="e">
        <f>IF(ISNA(V330),VLOOKUP(E330,категория!A$16:C$41,3,),11.12+R330*8.333/VLOOKUP(V330,категория!A$16:C$41,2,))</f>
        <v>#N/A</v>
      </c>
    </row>
    <row r="331" spans="1:23" ht="15.75">
      <c r="A331" s="301">
        <v>43856.333333333336</v>
      </c>
      <c r="B331" s="301">
        <v>43856.833333333336</v>
      </c>
      <c r="C331" s="301"/>
      <c r="D331" s="311">
        <v>4.1666666666666664E-2</v>
      </c>
      <c r="E331" s="329" t="s">
        <v>283</v>
      </c>
      <c r="F331" s="330"/>
      <c r="G331" s="330"/>
      <c r="H331" s="330"/>
      <c r="I331" s="330"/>
      <c r="J331" s="330"/>
      <c r="K331" s="330"/>
      <c r="L331" s="330"/>
      <c r="M331" s="330"/>
      <c r="N331" s="330"/>
      <c r="O331" s="330"/>
      <c r="P331" s="330"/>
      <c r="Q331" s="330"/>
      <c r="R331" s="330"/>
      <c r="S331" s="330"/>
      <c r="T331" s="330"/>
      <c r="U331" s="331"/>
      <c r="V331" s="247" t="e">
        <f>VLOOKUP(E331,Лист4!A$2:G$499,7)</f>
        <v>#N/A</v>
      </c>
      <c r="W331" s="247">
        <v>100</v>
      </c>
    </row>
    <row r="332" spans="1:23" ht="15.75">
      <c r="A332" s="312">
        <v>43856.833333333336</v>
      </c>
      <c r="B332" s="332" t="s">
        <v>682</v>
      </c>
      <c r="C332" s="333"/>
      <c r="D332" s="334"/>
      <c r="E332" s="334"/>
      <c r="F332" s="334"/>
      <c r="G332" s="334"/>
      <c r="H332" s="334"/>
      <c r="I332" s="334"/>
      <c r="J332" s="334"/>
      <c r="K332" s="334"/>
      <c r="L332" s="334"/>
      <c r="M332" s="334"/>
      <c r="N332" s="334"/>
      <c r="O332" s="334"/>
      <c r="P332" s="334"/>
      <c r="Q332" s="334"/>
      <c r="R332" s="334"/>
      <c r="S332" s="334"/>
      <c r="T332" s="334"/>
      <c r="U332" s="335"/>
      <c r="V332" s="247" t="e">
        <f>VLOOKUP(E332,Лист4!A$2:G$499,7)</f>
        <v>#N/A</v>
      </c>
      <c r="W332" s="247" t="e">
        <f>IF(ISNA(V332),VLOOKUP(E332,категория!A$16:C$41,3,),11.12+R332*8.333/VLOOKUP(V332,категория!A$16:C$41,2,))</f>
        <v>#N/A</v>
      </c>
    </row>
    <row r="333" spans="1:23" ht="15.75">
      <c r="A333" s="312">
        <v>43857.333333333336</v>
      </c>
      <c r="B333" s="332" t="s">
        <v>683</v>
      </c>
      <c r="C333" s="333"/>
      <c r="D333" s="334"/>
      <c r="E333" s="334"/>
      <c r="F333" s="334"/>
      <c r="G333" s="334"/>
      <c r="H333" s="334"/>
      <c r="I333" s="334"/>
      <c r="J333" s="334"/>
      <c r="K333" s="334"/>
      <c r="L333" s="334"/>
      <c r="M333" s="334"/>
      <c r="N333" s="334"/>
      <c r="O333" s="334"/>
      <c r="P333" s="334"/>
      <c r="Q333" s="334"/>
      <c r="R333" s="334"/>
      <c r="S333" s="334"/>
      <c r="T333" s="334"/>
      <c r="U333" s="335"/>
      <c r="V333" s="247" t="e">
        <f>VLOOKUP(E333,Лист4!A$2:G$499,7)</f>
        <v>#N/A</v>
      </c>
      <c r="W333" s="247" t="e">
        <f>IF(ISNA(V333),VLOOKUP(E333,категория!A$16:C$41,3,),11.12+R333*8.333/VLOOKUP(V333,категория!A$16:C$41,2,))</f>
        <v>#N/A</v>
      </c>
    </row>
    <row r="334" spans="1:23" ht="15.75">
      <c r="A334" s="301">
        <v>43857.333333333336</v>
      </c>
      <c r="B334" s="301">
        <v>43857.833333333336</v>
      </c>
      <c r="C334" s="301"/>
      <c r="D334" s="311">
        <v>4.1666666666666664E-2</v>
      </c>
      <c r="E334" s="329" t="s">
        <v>283</v>
      </c>
      <c r="F334" s="330"/>
      <c r="G334" s="330"/>
      <c r="H334" s="330"/>
      <c r="I334" s="330"/>
      <c r="J334" s="330"/>
      <c r="K334" s="330"/>
      <c r="L334" s="330"/>
      <c r="M334" s="330"/>
      <c r="N334" s="330"/>
      <c r="O334" s="330"/>
      <c r="P334" s="330"/>
      <c r="Q334" s="330"/>
      <c r="R334" s="330"/>
      <c r="S334" s="330"/>
      <c r="T334" s="330"/>
      <c r="U334" s="331"/>
      <c r="V334" s="247" t="e">
        <f>VLOOKUP(E334,Лист4!A$2:G$499,7)</f>
        <v>#N/A</v>
      </c>
      <c r="W334" s="247">
        <v>100</v>
      </c>
    </row>
    <row r="335" spans="1:23" ht="15.75">
      <c r="A335" s="312">
        <v>43857.833333333336</v>
      </c>
      <c r="B335" s="332" t="s">
        <v>684</v>
      </c>
      <c r="C335" s="333"/>
      <c r="D335" s="334"/>
      <c r="E335" s="334"/>
      <c r="F335" s="334"/>
      <c r="G335" s="334"/>
      <c r="H335" s="334"/>
      <c r="I335" s="334"/>
      <c r="J335" s="334"/>
      <c r="K335" s="334"/>
      <c r="L335" s="334"/>
      <c r="M335" s="334"/>
      <c r="N335" s="334"/>
      <c r="O335" s="334"/>
      <c r="P335" s="334"/>
      <c r="Q335" s="334"/>
      <c r="R335" s="334"/>
      <c r="S335" s="334"/>
      <c r="T335" s="334"/>
      <c r="U335" s="335"/>
      <c r="V335" s="247" t="e">
        <f>VLOOKUP(E335,Лист4!A$2:G$499,7)</f>
        <v>#N/A</v>
      </c>
      <c r="W335" s="247" t="e">
        <f>IF(ISNA(V335),VLOOKUP(E335,категория!A$16:C$41,3,),11.12+R335*8.333/VLOOKUP(V335,категория!A$16:C$41,2,))</f>
        <v>#N/A</v>
      </c>
    </row>
    <row r="336" spans="1:23" ht="15.75">
      <c r="A336" s="301">
        <v>43857.833333333336</v>
      </c>
      <c r="B336" s="301">
        <v>43857.854166666664</v>
      </c>
      <c r="C336" s="301">
        <f>B336-A336</f>
        <v>2.0833333328482695E-2</v>
      </c>
      <c r="D336" s="311">
        <v>2.0833333333333332E-2</v>
      </c>
      <c r="E336" s="329" t="s">
        <v>22</v>
      </c>
      <c r="F336" s="330"/>
      <c r="G336" s="330"/>
      <c r="H336" s="330"/>
      <c r="I336" s="330"/>
      <c r="J336" s="330"/>
      <c r="K336" s="330"/>
      <c r="L336" s="330"/>
      <c r="M336" s="330"/>
      <c r="N336" s="330"/>
      <c r="O336" s="330"/>
      <c r="P336" s="330"/>
      <c r="Q336" s="330"/>
      <c r="R336" s="330"/>
      <c r="S336" s="330"/>
      <c r="T336" s="330"/>
      <c r="U336" s="331"/>
      <c r="V336" s="247" t="e">
        <f>VLOOKUP(E336,Лист4!A$2:G$499,7)</f>
        <v>#N/A</v>
      </c>
      <c r="W336" s="247">
        <f>IF(ISNA(V336),VLOOKUP(E336,категория!A$16:C$41,3,),11.12+R336*8.333/VLOOKUP(V336,категория!A$16:C$41,2,))</f>
        <v>4.17</v>
      </c>
    </row>
    <row r="337" spans="1:23" ht="15" customHeight="1">
      <c r="A337" s="301">
        <v>43857.854166666664</v>
      </c>
      <c r="B337" s="301">
        <v>43858.020833333336</v>
      </c>
      <c r="C337" s="301">
        <f t="shared" ref="C337:C341" si="24">B337-A337</f>
        <v>0.16666666667151731</v>
      </c>
      <c r="D337" s="311">
        <v>4.1666666666666664E-2</v>
      </c>
      <c r="E337" s="329" t="s">
        <v>231</v>
      </c>
      <c r="F337" s="330"/>
      <c r="G337" s="330"/>
      <c r="H337" s="330"/>
      <c r="I337" s="330"/>
      <c r="J337" s="330"/>
      <c r="K337" s="330"/>
      <c r="L337" s="330"/>
      <c r="M337" s="330"/>
      <c r="N337" s="330"/>
      <c r="O337" s="330"/>
      <c r="P337" s="330"/>
      <c r="Q337" s="330"/>
      <c r="R337" s="330"/>
      <c r="S337" s="330"/>
      <c r="T337" s="330"/>
      <c r="U337" s="331"/>
      <c r="V337" s="247" t="e">
        <f>VLOOKUP(E337,Лист4!A$2:G$499,7)</f>
        <v>#N/A</v>
      </c>
      <c r="W337" s="247">
        <f>4*8.333</f>
        <v>33.332000000000001</v>
      </c>
    </row>
    <row r="338" spans="1:23" ht="36">
      <c r="A338" s="301">
        <v>43858.020833333336</v>
      </c>
      <c r="B338" s="301">
        <v>43858.048611111109</v>
      </c>
      <c r="C338" s="301">
        <f t="shared" si="24"/>
        <v>2.7777777773735579E-2</v>
      </c>
      <c r="D338" s="311">
        <v>2.7777777777777776E-2</v>
      </c>
      <c r="E338" s="302">
        <v>203</v>
      </c>
      <c r="F338" s="303" t="s">
        <v>685</v>
      </c>
      <c r="G338" s="303" t="s">
        <v>686</v>
      </c>
      <c r="H338" s="304" t="s">
        <v>226</v>
      </c>
      <c r="I338" s="305">
        <v>43861</v>
      </c>
      <c r="J338" s="306"/>
      <c r="K338" s="302" t="s">
        <v>256</v>
      </c>
      <c r="L338" s="307"/>
      <c r="M338" s="308"/>
      <c r="N338" s="303" t="s">
        <v>35</v>
      </c>
      <c r="O338" s="302">
        <v>300</v>
      </c>
      <c r="P338" s="302" t="s">
        <v>342</v>
      </c>
      <c r="Q338" s="309" t="s">
        <v>229</v>
      </c>
      <c r="R338" s="310">
        <v>200</v>
      </c>
      <c r="S338" s="310">
        <v>334</v>
      </c>
      <c r="T338" s="306" t="s">
        <v>232</v>
      </c>
      <c r="U338" s="310" t="s">
        <v>36</v>
      </c>
      <c r="V338" s="247" t="str">
        <f>VLOOKUP(E338,Лист4!A$2:G$499,7)</f>
        <v>картон от 270</v>
      </c>
      <c r="W338" s="247">
        <f>IF(ISNA(V338),VLOOKUP(E338,категория!A$16:C$41,3,),11.12+R338*8.333/VLOOKUP(V338,категория!A$16:C$41,2,))</f>
        <v>12.045888888888888</v>
      </c>
    </row>
    <row r="339" spans="1:23" ht="22.5" customHeight="1">
      <c r="A339" s="301">
        <v>43858.048611111109</v>
      </c>
      <c r="B339" s="301">
        <v>43858.055555555555</v>
      </c>
      <c r="C339" s="301">
        <f t="shared" si="24"/>
        <v>6.9444444452528842E-3</v>
      </c>
      <c r="D339" s="311">
        <v>2.0833333333333332E-2</v>
      </c>
      <c r="E339" s="329" t="s">
        <v>2</v>
      </c>
      <c r="F339" s="330"/>
      <c r="G339" s="330"/>
      <c r="H339" s="330"/>
      <c r="I339" s="330"/>
      <c r="J339" s="330"/>
      <c r="K339" s="330"/>
      <c r="L339" s="330"/>
      <c r="M339" s="330"/>
      <c r="N339" s="330"/>
      <c r="O339" s="330"/>
      <c r="P339" s="330"/>
      <c r="Q339" s="330"/>
      <c r="R339" s="330"/>
      <c r="S339" s="330"/>
      <c r="T339" s="330"/>
      <c r="U339" s="331"/>
      <c r="V339" s="247" t="e">
        <f>VLOOKUP(E339,Лист4!A$2:G$499,7)</f>
        <v>#N/A</v>
      </c>
      <c r="W339" s="247">
        <f>IF(ISNA(V339),VLOOKUP(E339,категория!A$16:C$41,3,),11.12+R339*8.333/VLOOKUP(V339,категория!A$16:C$41,2,))</f>
        <v>4.17</v>
      </c>
    </row>
    <row r="340" spans="1:23" ht="15.75">
      <c r="A340" s="301">
        <v>43858.055555555555</v>
      </c>
      <c r="B340" s="301">
        <v>43858.083333333336</v>
      </c>
      <c r="C340" s="301">
        <f t="shared" si="24"/>
        <v>2.7777777781011537E-2</v>
      </c>
      <c r="D340" s="311">
        <v>1.7361111111111112E-2</v>
      </c>
      <c r="E340" s="329" t="s">
        <v>3</v>
      </c>
      <c r="F340" s="330"/>
      <c r="G340" s="330"/>
      <c r="H340" s="330"/>
      <c r="I340" s="330"/>
      <c r="J340" s="330"/>
      <c r="K340" s="330"/>
      <c r="L340" s="330"/>
      <c r="M340" s="330"/>
      <c r="N340" s="330"/>
      <c r="O340" s="330"/>
      <c r="P340" s="330"/>
      <c r="Q340" s="330"/>
      <c r="R340" s="330"/>
      <c r="S340" s="330"/>
      <c r="T340" s="330"/>
      <c r="U340" s="331"/>
      <c r="V340" s="247" t="e">
        <f>VLOOKUP(E340,Лист4!A$2:G$499,7)</f>
        <v>#N/A</v>
      </c>
      <c r="W340" s="247">
        <f>IF(ISNA(V340),VLOOKUP(E340,категория!A$16:C$41,3,),11.12+R340*8.333/VLOOKUP(V340,категория!A$16:C$41,2,))</f>
        <v>3.48</v>
      </c>
    </row>
    <row r="341" spans="1:23" ht="40.5" customHeight="1">
      <c r="A341" s="301">
        <v>43858.083333333336</v>
      </c>
      <c r="B341" s="301">
        <v>43858.333333333336</v>
      </c>
      <c r="C341" s="301">
        <f t="shared" si="24"/>
        <v>0.25</v>
      </c>
      <c r="D341" s="311">
        <v>4.1666666666666664E-2</v>
      </c>
      <c r="E341" s="329" t="s">
        <v>283</v>
      </c>
      <c r="F341" s="330"/>
      <c r="G341" s="330"/>
      <c r="H341" s="330"/>
      <c r="I341" s="330"/>
      <c r="J341" s="330"/>
      <c r="K341" s="330"/>
      <c r="L341" s="330"/>
      <c r="M341" s="330"/>
      <c r="N341" s="330"/>
      <c r="O341" s="330"/>
      <c r="P341" s="330"/>
      <c r="Q341" s="330"/>
      <c r="R341" s="330"/>
      <c r="S341" s="330"/>
      <c r="T341" s="330"/>
      <c r="U341" s="331"/>
      <c r="V341" s="247" t="e">
        <f>VLOOKUP(E341,Лист4!A$2:G$499,7)</f>
        <v>#N/A</v>
      </c>
      <c r="W341" s="247">
        <f>6*8.333</f>
        <v>49.998000000000005</v>
      </c>
    </row>
    <row r="342" spans="1:23" ht="15.75">
      <c r="A342" s="312">
        <v>43858.333333333336</v>
      </c>
      <c r="B342" s="332" t="s">
        <v>687</v>
      </c>
      <c r="C342" s="333"/>
      <c r="D342" s="334"/>
      <c r="E342" s="334"/>
      <c r="F342" s="334"/>
      <c r="G342" s="334"/>
      <c r="H342" s="334"/>
      <c r="I342" s="334"/>
      <c r="J342" s="334"/>
      <c r="K342" s="334"/>
      <c r="L342" s="334"/>
      <c r="M342" s="334"/>
      <c r="N342" s="334"/>
      <c r="O342" s="334"/>
      <c r="P342" s="334"/>
      <c r="Q342" s="334"/>
      <c r="R342" s="334"/>
      <c r="S342" s="334"/>
      <c r="T342" s="334"/>
      <c r="U342" s="335"/>
      <c r="V342" s="247" t="e">
        <f>VLOOKUP(E342,Лист4!A$2:G$499,7)</f>
        <v>#N/A</v>
      </c>
      <c r="W342" s="52">
        <f>SUM(W336:W341)</f>
        <v>107.1958888888889</v>
      </c>
    </row>
    <row r="343" spans="1:23" ht="15.75">
      <c r="A343" s="301">
        <v>43858.333333333336</v>
      </c>
      <c r="B343" s="301">
        <v>43858.833333333336</v>
      </c>
      <c r="C343" s="301"/>
      <c r="D343" s="311">
        <v>0.5</v>
      </c>
      <c r="E343" s="329" t="s">
        <v>283</v>
      </c>
      <c r="F343" s="330"/>
      <c r="G343" s="330"/>
      <c r="H343" s="330"/>
      <c r="I343" s="330"/>
      <c r="J343" s="330"/>
      <c r="K343" s="330"/>
      <c r="L343" s="330"/>
      <c r="M343" s="330"/>
      <c r="N343" s="330"/>
      <c r="O343" s="330"/>
      <c r="P343" s="330"/>
      <c r="Q343" s="330"/>
      <c r="R343" s="330"/>
      <c r="S343" s="330"/>
      <c r="T343" s="330"/>
      <c r="U343" s="331"/>
      <c r="V343" s="247" t="e">
        <f>VLOOKUP(E343,Лист4!A$2:G$499,7)</f>
        <v>#N/A</v>
      </c>
      <c r="W343" s="247">
        <v>100</v>
      </c>
    </row>
    <row r="344" spans="1:23" ht="15.75">
      <c r="A344" s="312">
        <v>43858.833333333336</v>
      </c>
      <c r="B344" s="332" t="s">
        <v>688</v>
      </c>
      <c r="C344" s="333"/>
      <c r="D344" s="334"/>
      <c r="E344" s="334"/>
      <c r="F344" s="334"/>
      <c r="G344" s="334"/>
      <c r="H344" s="334"/>
      <c r="I344" s="334"/>
      <c r="J344" s="334"/>
      <c r="K344" s="334"/>
      <c r="L344" s="334"/>
      <c r="M344" s="334"/>
      <c r="N344" s="334"/>
      <c r="O344" s="334"/>
      <c r="P344" s="334"/>
      <c r="Q344" s="334"/>
      <c r="R344" s="334"/>
      <c r="S344" s="334"/>
      <c r="T344" s="334"/>
      <c r="U344" s="335"/>
      <c r="V344" s="247" t="e">
        <f>VLOOKUP(E344,Лист4!A$2:G$499,7)</f>
        <v>#N/A</v>
      </c>
      <c r="W344" s="247" t="e">
        <f>IF(ISNA(V344),VLOOKUP(E344,категория!A$16:C$41,3,),11.12+R344*8.333/VLOOKUP(V344,категория!A$16:C$41,2,))</f>
        <v>#N/A</v>
      </c>
    </row>
    <row r="345" spans="1:23" ht="15.75">
      <c r="A345" s="301">
        <v>43858.833333333336</v>
      </c>
      <c r="B345" s="301">
        <v>43859.333333333336</v>
      </c>
      <c r="C345" s="301"/>
      <c r="D345" s="311">
        <v>0.5</v>
      </c>
      <c r="E345" s="329" t="s">
        <v>339</v>
      </c>
      <c r="F345" s="330"/>
      <c r="G345" s="330"/>
      <c r="H345" s="330"/>
      <c r="I345" s="330"/>
      <c r="J345" s="330"/>
      <c r="K345" s="330"/>
      <c r="L345" s="330"/>
      <c r="M345" s="330"/>
      <c r="N345" s="330"/>
      <c r="O345" s="330"/>
      <c r="P345" s="330"/>
      <c r="Q345" s="330"/>
      <c r="R345" s="330"/>
      <c r="S345" s="330"/>
      <c r="T345" s="330"/>
      <c r="U345" s="331"/>
      <c r="V345" s="247" t="e">
        <f>VLOOKUP(E345,Лист4!A$2:G$499,7)</f>
        <v>#N/A</v>
      </c>
      <c r="W345" s="247" t="e">
        <f>IF(ISNA(V345),VLOOKUP(E345,категория!A$16:C$41,3,),11.12+R345*8.333/VLOOKUP(V345,категория!A$16:C$41,2,))</f>
        <v>#N/A</v>
      </c>
    </row>
    <row r="346" spans="1:23" ht="15.75">
      <c r="A346" s="312">
        <v>43859.333333333336</v>
      </c>
      <c r="B346" s="332" t="s">
        <v>689</v>
      </c>
      <c r="C346" s="333"/>
      <c r="D346" s="334"/>
      <c r="E346" s="334"/>
      <c r="F346" s="334"/>
      <c r="G346" s="334"/>
      <c r="H346" s="334"/>
      <c r="I346" s="334"/>
      <c r="J346" s="334"/>
      <c r="K346" s="334"/>
      <c r="L346" s="334"/>
      <c r="M346" s="334"/>
      <c r="N346" s="334"/>
      <c r="O346" s="334"/>
      <c r="P346" s="334"/>
      <c r="Q346" s="334"/>
      <c r="R346" s="334"/>
      <c r="S346" s="334"/>
      <c r="T346" s="334"/>
      <c r="U346" s="335"/>
      <c r="V346" s="247" t="e">
        <f>VLOOKUP(E346,Лист4!A$2:G$499,7)</f>
        <v>#N/A</v>
      </c>
      <c r="W346" s="247" t="e">
        <f>IF(ISNA(V346),VLOOKUP(E346,категория!A$16:C$41,3,),11.12+R346*8.333/VLOOKUP(V346,категория!A$16:C$41,2,))</f>
        <v>#N/A</v>
      </c>
    </row>
    <row r="347" spans="1:23" ht="15.75">
      <c r="A347" s="301">
        <v>43859.333333333336</v>
      </c>
      <c r="B347" s="301">
        <v>43859.488888888889</v>
      </c>
      <c r="C347" s="301">
        <f>B347-A347</f>
        <v>0.15555555555329192</v>
      </c>
      <c r="D347" s="311">
        <v>4.1666666666666664E-2</v>
      </c>
      <c r="E347" s="329" t="s">
        <v>283</v>
      </c>
      <c r="F347" s="330"/>
      <c r="G347" s="330"/>
      <c r="H347" s="330"/>
      <c r="I347" s="330"/>
      <c r="J347" s="330"/>
      <c r="K347" s="330"/>
      <c r="L347" s="330"/>
      <c r="M347" s="330"/>
      <c r="N347" s="330"/>
      <c r="O347" s="330"/>
      <c r="P347" s="330"/>
      <c r="Q347" s="330"/>
      <c r="R347" s="330"/>
      <c r="S347" s="330"/>
      <c r="T347" s="330"/>
      <c r="U347" s="331"/>
      <c r="V347" s="247" t="e">
        <f>VLOOKUP(E347,Лист4!A$2:G$499,7)</f>
        <v>#N/A</v>
      </c>
      <c r="W347" s="247">
        <f>3.75*8.333</f>
        <v>31.248750000000001</v>
      </c>
    </row>
    <row r="348" spans="1:23" ht="15.75">
      <c r="A348" s="301">
        <v>43859.488888888889</v>
      </c>
      <c r="B348" s="301">
        <v>43859.530555555553</v>
      </c>
      <c r="C348" s="301">
        <f t="shared" ref="C348:C353" si="25">B348-A348</f>
        <v>4.1666666664241347E-2</v>
      </c>
      <c r="D348" s="311">
        <v>4.1666666666666664E-2</v>
      </c>
      <c r="E348" s="329" t="s">
        <v>12</v>
      </c>
      <c r="F348" s="330"/>
      <c r="G348" s="330"/>
      <c r="H348" s="330"/>
      <c r="I348" s="330"/>
      <c r="J348" s="330"/>
      <c r="K348" s="330"/>
      <c r="L348" s="330"/>
      <c r="M348" s="330"/>
      <c r="N348" s="330"/>
      <c r="O348" s="330"/>
      <c r="P348" s="330"/>
      <c r="Q348" s="330"/>
      <c r="R348" s="330"/>
      <c r="S348" s="330"/>
      <c r="T348" s="330"/>
      <c r="U348" s="331"/>
      <c r="V348" s="247" t="e">
        <f>VLOOKUP(E348,Лист4!A$2:G$499,7)</f>
        <v>#N/A</v>
      </c>
      <c r="W348" s="247">
        <f>IF(ISNA(V348),VLOOKUP(E348,категория!A$16:C$41,3,),11.12+R348*8.333/VLOOKUP(V348,категория!A$16:C$41,2,))</f>
        <v>16.670000000000002</v>
      </c>
    </row>
    <row r="349" spans="1:23" ht="15.75">
      <c r="A349" s="301">
        <v>43859.530555555553</v>
      </c>
      <c r="B349" s="301">
        <v>43859.655555555553</v>
      </c>
      <c r="C349" s="301">
        <f t="shared" si="25"/>
        <v>0.125</v>
      </c>
      <c r="D349" s="311">
        <v>4.1666666666666664E-2</v>
      </c>
      <c r="E349" s="329" t="s">
        <v>263</v>
      </c>
      <c r="F349" s="330"/>
      <c r="G349" s="330"/>
      <c r="H349" s="330"/>
      <c r="I349" s="330"/>
      <c r="J349" s="330"/>
      <c r="K349" s="330"/>
      <c r="L349" s="330"/>
      <c r="M349" s="330"/>
      <c r="N349" s="330"/>
      <c r="O349" s="330"/>
      <c r="P349" s="330"/>
      <c r="Q349" s="330"/>
      <c r="R349" s="330"/>
      <c r="S349" s="330"/>
      <c r="T349" s="330"/>
      <c r="U349" s="331"/>
      <c r="V349" s="247" t="e">
        <f>VLOOKUP(E349,Лист4!A$2:G$499,7)</f>
        <v>#N/A</v>
      </c>
      <c r="W349" s="247">
        <f>3*8.333</f>
        <v>24.999000000000002</v>
      </c>
    </row>
    <row r="350" spans="1:23" ht="15.75">
      <c r="A350" s="301">
        <v>43859.655555555553</v>
      </c>
      <c r="B350" s="301">
        <v>43859.676388888889</v>
      </c>
      <c r="C350" s="301">
        <f t="shared" si="25"/>
        <v>2.0833333335758653E-2</v>
      </c>
      <c r="D350" s="311">
        <v>2.0833333333333332E-2</v>
      </c>
      <c r="E350" s="329" t="s">
        <v>23</v>
      </c>
      <c r="F350" s="330"/>
      <c r="G350" s="330"/>
      <c r="H350" s="330"/>
      <c r="I350" s="330"/>
      <c r="J350" s="330"/>
      <c r="K350" s="330"/>
      <c r="L350" s="330"/>
      <c r="M350" s="330"/>
      <c r="N350" s="330"/>
      <c r="O350" s="330"/>
      <c r="P350" s="330"/>
      <c r="Q350" s="330"/>
      <c r="R350" s="330"/>
      <c r="S350" s="330"/>
      <c r="T350" s="330"/>
      <c r="U350" s="331"/>
      <c r="V350" s="247" t="e">
        <f>VLOOKUP(E350,Лист4!A$2:G$499,7)</f>
        <v>#N/A</v>
      </c>
      <c r="W350" s="247">
        <f>IF(ISNA(V350),VLOOKUP(E350,категория!A$16:C$41,3,),11.12+R350*8.333/VLOOKUP(V350,категория!A$16:C$41,2,))</f>
        <v>2.78</v>
      </c>
    </row>
    <row r="351" spans="1:23" ht="84">
      <c r="A351" s="301">
        <v>43859.676388888889</v>
      </c>
      <c r="B351" s="301">
        <v>43859.756944444445</v>
      </c>
      <c r="C351" s="301">
        <f t="shared" si="25"/>
        <v>8.0555555556202307E-2</v>
      </c>
      <c r="D351" s="311">
        <v>8.0555555555555561E-2</v>
      </c>
      <c r="E351" s="302">
        <v>258</v>
      </c>
      <c r="F351" s="303" t="s">
        <v>275</v>
      </c>
      <c r="G351" s="303" t="s">
        <v>690</v>
      </c>
      <c r="H351" s="304" t="s">
        <v>289</v>
      </c>
      <c r="I351" s="305">
        <v>43861</v>
      </c>
      <c r="J351" s="306"/>
      <c r="K351" s="302" t="s">
        <v>227</v>
      </c>
      <c r="L351" s="307"/>
      <c r="M351" s="308"/>
      <c r="N351" s="303" t="s">
        <v>38</v>
      </c>
      <c r="O351" s="302">
        <v>80</v>
      </c>
      <c r="P351" s="302" t="s">
        <v>236</v>
      </c>
      <c r="Q351" s="309" t="s">
        <v>229</v>
      </c>
      <c r="R351" s="310">
        <v>1170</v>
      </c>
      <c r="S351" s="310">
        <v>1303</v>
      </c>
      <c r="T351" s="306"/>
      <c r="U351" s="310" t="s">
        <v>37</v>
      </c>
      <c r="V351" s="247" t="s">
        <v>56</v>
      </c>
      <c r="W351" s="247">
        <f>IF(ISNA(V351),VLOOKUP(E351,категория!A$16:C$41,3,),11.12+R351*8.333/VLOOKUP(V351,категория!A$16:C$41,2,))</f>
        <v>15.019843999999999</v>
      </c>
    </row>
    <row r="352" spans="1:23" ht="32.25" customHeight="1">
      <c r="A352" s="301">
        <v>43859.756944444445</v>
      </c>
      <c r="B352" s="301">
        <v>43859.777777777781</v>
      </c>
      <c r="C352" s="301">
        <f t="shared" si="25"/>
        <v>2.0833333335758653E-2</v>
      </c>
      <c r="D352" s="311">
        <v>2.0833333333333332E-2</v>
      </c>
      <c r="E352" s="329" t="s">
        <v>2</v>
      </c>
      <c r="F352" s="330"/>
      <c r="G352" s="330"/>
      <c r="H352" s="330"/>
      <c r="I352" s="330"/>
      <c r="J352" s="330"/>
      <c r="K352" s="330"/>
      <c r="L352" s="330"/>
      <c r="M352" s="330"/>
      <c r="N352" s="330"/>
      <c r="O352" s="330"/>
      <c r="P352" s="330"/>
      <c r="Q352" s="330"/>
      <c r="R352" s="330"/>
      <c r="S352" s="330"/>
      <c r="T352" s="330"/>
      <c r="U352" s="331"/>
      <c r="V352" s="247" t="e">
        <f>VLOOKUP(E352,Лист4!A$2:G$499,7)</f>
        <v>#N/A</v>
      </c>
      <c r="W352" s="247">
        <f>IF(ISNA(V352),VLOOKUP(E352,категория!A$16:C$41,3,),11.12+R352*8.333/VLOOKUP(V352,категория!A$16:C$41,2,))</f>
        <v>4.17</v>
      </c>
    </row>
    <row r="353" spans="1:23" ht="15.75">
      <c r="A353" s="301">
        <v>43859.777777777781</v>
      </c>
      <c r="B353" s="301">
        <v>43859.833333333336</v>
      </c>
      <c r="C353" s="301">
        <f t="shared" si="25"/>
        <v>5.5555555554747116E-2</v>
      </c>
      <c r="D353" s="311">
        <v>4.1666666666666664E-2</v>
      </c>
      <c r="E353" s="329" t="s">
        <v>283</v>
      </c>
      <c r="F353" s="330"/>
      <c r="G353" s="330"/>
      <c r="H353" s="330"/>
      <c r="I353" s="330"/>
      <c r="J353" s="330"/>
      <c r="K353" s="330"/>
      <c r="L353" s="330"/>
      <c r="M353" s="330"/>
      <c r="N353" s="330"/>
      <c r="O353" s="330"/>
      <c r="P353" s="330"/>
      <c r="Q353" s="330"/>
      <c r="R353" s="330"/>
      <c r="S353" s="330"/>
      <c r="T353" s="330"/>
      <c r="U353" s="331"/>
      <c r="V353" s="247" t="e">
        <f>VLOOKUP(E353,Лист4!A$2:G$499,7)</f>
        <v>#N/A</v>
      </c>
      <c r="W353" s="247">
        <f>1.333*8.333</f>
        <v>11.107889</v>
      </c>
    </row>
    <row r="354" spans="1:23" ht="15.75">
      <c r="A354" s="312">
        <v>43859.833333333336</v>
      </c>
      <c r="B354" s="332" t="s">
        <v>691</v>
      </c>
      <c r="C354" s="333"/>
      <c r="D354" s="334"/>
      <c r="E354" s="334"/>
      <c r="F354" s="334"/>
      <c r="G354" s="334"/>
      <c r="H354" s="334"/>
      <c r="I354" s="334"/>
      <c r="J354" s="334"/>
      <c r="K354" s="334"/>
      <c r="L354" s="334"/>
      <c r="M354" s="334"/>
      <c r="N354" s="334"/>
      <c r="O354" s="334"/>
      <c r="P354" s="334"/>
      <c r="Q354" s="334"/>
      <c r="R354" s="334"/>
      <c r="S354" s="334"/>
      <c r="T354" s="334"/>
      <c r="U354" s="335"/>
      <c r="V354" s="247" t="e">
        <f>VLOOKUP(E354,Лист4!A$2:G$499,7)</f>
        <v>#N/A</v>
      </c>
      <c r="W354" s="52">
        <f>SUM(W347:W353)</f>
        <v>105.99548300000002</v>
      </c>
    </row>
    <row r="355" spans="1:23" ht="15.75">
      <c r="A355" s="301">
        <v>43859.833333333336</v>
      </c>
      <c r="B355" s="301">
        <v>43860.333333333336</v>
      </c>
      <c r="C355" s="301"/>
      <c r="D355" s="311">
        <v>0.5</v>
      </c>
      <c r="E355" s="329" t="s">
        <v>339</v>
      </c>
      <c r="F355" s="330"/>
      <c r="G355" s="330"/>
      <c r="H355" s="330"/>
      <c r="I355" s="330"/>
      <c r="J355" s="330"/>
      <c r="K355" s="330"/>
      <c r="L355" s="330"/>
      <c r="M355" s="330"/>
      <c r="N355" s="330"/>
      <c r="O355" s="330"/>
      <c r="P355" s="330"/>
      <c r="Q355" s="330"/>
      <c r="R355" s="330"/>
      <c r="S355" s="330"/>
      <c r="T355" s="330"/>
      <c r="U355" s="331"/>
      <c r="V355" s="247" t="e">
        <f>VLOOKUP(E355,Лист4!A$2:G$499,7)</f>
        <v>#N/A</v>
      </c>
      <c r="W355" s="247">
        <v>100</v>
      </c>
    </row>
    <row r="356" spans="1:23" ht="41.25" customHeight="1">
      <c r="A356" s="312">
        <v>43860.333333333336</v>
      </c>
      <c r="B356" s="332" t="s">
        <v>692</v>
      </c>
      <c r="C356" s="333"/>
      <c r="D356" s="334"/>
      <c r="E356" s="334"/>
      <c r="F356" s="334"/>
      <c r="G356" s="334"/>
      <c r="H356" s="334"/>
      <c r="I356" s="334"/>
      <c r="J356" s="334"/>
      <c r="K356" s="334"/>
      <c r="L356" s="334"/>
      <c r="M356" s="334"/>
      <c r="N356" s="334"/>
      <c r="O356" s="334"/>
      <c r="P356" s="334"/>
      <c r="Q356" s="334"/>
      <c r="R356" s="334"/>
      <c r="S356" s="334"/>
      <c r="T356" s="334"/>
      <c r="U356" s="335"/>
      <c r="V356" s="247" t="e">
        <f>VLOOKUP(E356,Лист4!A$2:G$499,7)</f>
        <v>#N/A</v>
      </c>
      <c r="W356" s="247" t="e">
        <f>IF(ISNA(V356),VLOOKUP(E356,категория!A$16:C$41,3,),11.12+R356*8.333/VLOOKUP(V356,категория!A$16:C$41,2,))</f>
        <v>#N/A</v>
      </c>
    </row>
    <row r="357" spans="1:23" ht="15.75">
      <c r="A357" s="301">
        <v>43860.333333333336</v>
      </c>
      <c r="B357" s="301">
        <v>43860.395833333336</v>
      </c>
      <c r="C357" s="301">
        <f>B357-A357</f>
        <v>6.25E-2</v>
      </c>
      <c r="D357" s="311">
        <v>8.3333333333333329E-2</v>
      </c>
      <c r="E357" s="329" t="s">
        <v>12</v>
      </c>
      <c r="F357" s="330"/>
      <c r="G357" s="330"/>
      <c r="H357" s="330"/>
      <c r="I357" s="330"/>
      <c r="J357" s="330"/>
      <c r="K357" s="330"/>
      <c r="L357" s="330"/>
      <c r="M357" s="330"/>
      <c r="N357" s="330"/>
      <c r="O357" s="330"/>
      <c r="P357" s="330"/>
      <c r="Q357" s="330"/>
      <c r="R357" s="330"/>
      <c r="S357" s="330"/>
      <c r="T357" s="330"/>
      <c r="U357" s="331"/>
      <c r="V357" s="247" t="e">
        <f>VLOOKUP(E357,Лист4!A$2:G$499,7)</f>
        <v>#N/A</v>
      </c>
      <c r="W357" s="247">
        <f>IF(ISNA(V357),VLOOKUP(E357,категория!A$16:C$41,3,),11.12+R357*8.333/VLOOKUP(V357,категория!A$16:C$41,2,))</f>
        <v>16.670000000000002</v>
      </c>
    </row>
    <row r="358" spans="1:23" ht="15.75">
      <c r="A358" s="301">
        <v>43860.395833333336</v>
      </c>
      <c r="B358" s="301">
        <v>43860.416666666664</v>
      </c>
      <c r="C358" s="301">
        <f t="shared" ref="C358:C362" si="26">B358-A358</f>
        <v>2.0833333328482695E-2</v>
      </c>
      <c r="D358" s="311">
        <v>0.5</v>
      </c>
      <c r="E358" s="329" t="s">
        <v>10</v>
      </c>
      <c r="F358" s="330"/>
      <c r="G358" s="330"/>
      <c r="H358" s="330"/>
      <c r="I358" s="330"/>
      <c r="J358" s="330"/>
      <c r="K358" s="330"/>
      <c r="L358" s="330"/>
      <c r="M358" s="330"/>
      <c r="N358" s="330"/>
      <c r="O358" s="330"/>
      <c r="P358" s="330"/>
      <c r="Q358" s="330"/>
      <c r="R358" s="330"/>
      <c r="S358" s="330"/>
      <c r="T358" s="330"/>
      <c r="U358" s="331"/>
      <c r="V358" s="247" t="e">
        <f>VLOOKUP(E358,Лист4!A$2:G$499,7)</f>
        <v>#N/A</v>
      </c>
      <c r="W358" s="247">
        <f>IF(ISNA(V358),VLOOKUP(E358,категория!A$16:C$41,3,),11.12+R358*8.333/VLOOKUP(V358,категория!A$16:C$41,2,))*0.5</f>
        <v>4.1666499999999997</v>
      </c>
    </row>
    <row r="359" spans="1:23" ht="48">
      <c r="A359" s="301">
        <v>43860.416666666664</v>
      </c>
      <c r="B359" s="301">
        <v>43860.5</v>
      </c>
      <c r="C359" s="301">
        <f t="shared" si="26"/>
        <v>8.3333333335758653E-2</v>
      </c>
      <c r="D359" s="311">
        <v>8.3333333333333329E-2</v>
      </c>
      <c r="E359" s="302">
        <v>259</v>
      </c>
      <c r="F359" s="303" t="s">
        <v>271</v>
      </c>
      <c r="G359" s="303" t="s">
        <v>693</v>
      </c>
      <c r="H359" s="304" t="s">
        <v>226</v>
      </c>
      <c r="I359" s="305">
        <v>43860</v>
      </c>
      <c r="J359" s="306"/>
      <c r="K359" s="302" t="s">
        <v>227</v>
      </c>
      <c r="L359" s="307"/>
      <c r="M359" s="308"/>
      <c r="N359" s="303" t="s">
        <v>35</v>
      </c>
      <c r="O359" s="302">
        <v>210</v>
      </c>
      <c r="P359" s="302" t="s">
        <v>236</v>
      </c>
      <c r="Q359" s="309" t="s">
        <v>229</v>
      </c>
      <c r="R359" s="310">
        <v>2070</v>
      </c>
      <c r="S359" s="310">
        <v>2240</v>
      </c>
      <c r="T359" s="306"/>
      <c r="U359" s="310" t="s">
        <v>36</v>
      </c>
      <c r="V359" s="247" t="str">
        <f>VLOOKUP(E359,Лист4!A$2:G$499,7)</f>
        <v>картон до 250</v>
      </c>
      <c r="W359" s="247">
        <f>IF(ISNA(V359),VLOOKUP(E359,категория!A$16:C$41,3,),11.12+R359*8.333/VLOOKUP(V359,категория!A$16:C$41,2,))</f>
        <v>19.744655000000002</v>
      </c>
    </row>
    <row r="360" spans="1:23" ht="15.75">
      <c r="A360" s="301">
        <v>43860.5</v>
      </c>
      <c r="B360" s="301">
        <v>43860.520833333336</v>
      </c>
      <c r="C360" s="301">
        <f t="shared" si="26"/>
        <v>2.0833333335758653E-2</v>
      </c>
      <c r="D360" s="311">
        <v>2.0833333333333332E-2</v>
      </c>
      <c r="E360" s="329" t="s">
        <v>2</v>
      </c>
      <c r="F360" s="330"/>
      <c r="G360" s="330"/>
      <c r="H360" s="330"/>
      <c r="I360" s="330"/>
      <c r="J360" s="330"/>
      <c r="K360" s="330"/>
      <c r="L360" s="330"/>
      <c r="M360" s="330"/>
      <c r="N360" s="330"/>
      <c r="O360" s="330"/>
      <c r="P360" s="330"/>
      <c r="Q360" s="330"/>
      <c r="R360" s="330"/>
      <c r="S360" s="330"/>
      <c r="T360" s="330"/>
      <c r="U360" s="331"/>
      <c r="V360" s="247" t="e">
        <f>VLOOKUP(E360,Лист4!A$2:G$499,7)</f>
        <v>#N/A</v>
      </c>
      <c r="W360" s="247">
        <f>IF(ISNA(V360),VLOOKUP(E360,категория!A$16:C$41,3,),11.12+R360*8.333/VLOOKUP(V360,категория!A$16:C$41,2,))</f>
        <v>4.17</v>
      </c>
    </row>
    <row r="361" spans="1:23" ht="15.75">
      <c r="A361" s="301">
        <v>43860.520833333336</v>
      </c>
      <c r="B361" s="301">
        <v>43860.541666666664</v>
      </c>
      <c r="C361" s="301">
        <f t="shared" si="26"/>
        <v>2.0833333328482695E-2</v>
      </c>
      <c r="D361" s="311">
        <v>2.0833333333333332E-2</v>
      </c>
      <c r="E361" s="329" t="s">
        <v>23</v>
      </c>
      <c r="F361" s="330"/>
      <c r="G361" s="330"/>
      <c r="H361" s="330"/>
      <c r="I361" s="330"/>
      <c r="J361" s="330"/>
      <c r="K361" s="330"/>
      <c r="L361" s="330"/>
      <c r="M361" s="330"/>
      <c r="N361" s="330"/>
      <c r="O361" s="330"/>
      <c r="P361" s="330"/>
      <c r="Q361" s="330"/>
      <c r="R361" s="330"/>
      <c r="S361" s="330"/>
      <c r="T361" s="330"/>
      <c r="U361" s="331"/>
      <c r="V361" s="247" t="e">
        <f>VLOOKUP(E361,Лист4!A$2:G$499,7)</f>
        <v>#N/A</v>
      </c>
      <c r="W361" s="247">
        <f>IF(ISNA(V361),VLOOKUP(E361,категория!A$16:C$41,3,),11.12+R361*8.333/VLOOKUP(V361,категория!A$16:C$41,2,))</f>
        <v>2.78</v>
      </c>
    </row>
    <row r="362" spans="1:23" ht="15.75">
      <c r="A362" s="301">
        <v>43860.541666666664</v>
      </c>
      <c r="B362" s="301">
        <v>43860.833333333336</v>
      </c>
      <c r="C362" s="301">
        <f t="shared" si="26"/>
        <v>0.29166666667151731</v>
      </c>
      <c r="D362" s="311">
        <v>4.1666666666666664E-2</v>
      </c>
      <c r="E362" s="329" t="s">
        <v>694</v>
      </c>
      <c r="F362" s="330"/>
      <c r="G362" s="330"/>
      <c r="H362" s="330"/>
      <c r="I362" s="330"/>
      <c r="J362" s="330"/>
      <c r="K362" s="330"/>
      <c r="L362" s="330"/>
      <c r="M362" s="330"/>
      <c r="N362" s="330"/>
      <c r="O362" s="330"/>
      <c r="P362" s="330"/>
      <c r="Q362" s="330"/>
      <c r="R362" s="330"/>
      <c r="S362" s="330"/>
      <c r="T362" s="330"/>
      <c r="U362" s="331"/>
      <c r="V362" s="247" t="e">
        <f>VLOOKUP(E362,Лист4!A$2:G$499,7)</f>
        <v>#N/A</v>
      </c>
      <c r="W362" s="247">
        <f>7*8.333</f>
        <v>58.331000000000003</v>
      </c>
    </row>
    <row r="363" spans="1:23" ht="15.75">
      <c r="A363" s="312">
        <v>43860.833333333336</v>
      </c>
      <c r="B363" s="332" t="s">
        <v>695</v>
      </c>
      <c r="C363" s="333"/>
      <c r="D363" s="334"/>
      <c r="E363" s="334"/>
      <c r="F363" s="334"/>
      <c r="G363" s="334"/>
      <c r="H363" s="334"/>
      <c r="I363" s="334"/>
      <c r="J363" s="334"/>
      <c r="K363" s="334"/>
      <c r="L363" s="334"/>
      <c r="M363" s="334"/>
      <c r="N363" s="334"/>
      <c r="O363" s="334"/>
      <c r="P363" s="334"/>
      <c r="Q363" s="334"/>
      <c r="R363" s="334"/>
      <c r="S363" s="334"/>
      <c r="T363" s="334"/>
      <c r="U363" s="335"/>
      <c r="V363" s="247" t="e">
        <f>VLOOKUP(E363,Лист4!A$2:G$499,7)</f>
        <v>#N/A</v>
      </c>
      <c r="W363" s="52">
        <f>SUM(W357:W362)</f>
        <v>105.86230500000001</v>
      </c>
    </row>
    <row r="364" spans="1:23" ht="15.75">
      <c r="A364" s="219"/>
      <c r="B364" s="219"/>
      <c r="C364" s="219"/>
      <c r="D364" s="229"/>
      <c r="E364" s="329"/>
      <c r="F364" s="330"/>
      <c r="G364" s="330"/>
      <c r="H364" s="330"/>
      <c r="I364" s="330"/>
      <c r="J364" s="330"/>
      <c r="K364" s="330"/>
      <c r="L364" s="330"/>
      <c r="M364" s="330"/>
      <c r="N364" s="330"/>
      <c r="O364" s="330"/>
      <c r="P364" s="330"/>
      <c r="Q364" s="330"/>
      <c r="R364" s="330"/>
      <c r="S364" s="330"/>
      <c r="T364" s="330"/>
      <c r="U364" s="331"/>
      <c r="V364" s="247" t="e">
        <f>VLOOKUP(E364,Лист4!A$2:G$499,7)</f>
        <v>#N/A</v>
      </c>
      <c r="W364" s="186"/>
    </row>
    <row r="365" spans="1:23" ht="15.75">
      <c r="A365" s="325">
        <v>43861.333333333336</v>
      </c>
      <c r="B365" s="332" t="s">
        <v>696</v>
      </c>
      <c r="C365" s="333"/>
      <c r="D365" s="334"/>
      <c r="E365" s="334"/>
      <c r="F365" s="334"/>
      <c r="G365" s="334"/>
      <c r="H365" s="334"/>
      <c r="I365" s="334"/>
      <c r="J365" s="334"/>
      <c r="K365" s="334"/>
      <c r="L365" s="334"/>
      <c r="M365" s="334"/>
      <c r="N365" s="334"/>
      <c r="O365" s="334"/>
      <c r="P365" s="334"/>
      <c r="Q365" s="334"/>
      <c r="R365" s="334"/>
      <c r="S365" s="334"/>
      <c r="T365" s="334"/>
      <c r="U365" s="335"/>
      <c r="V365" s="247" t="e">
        <f>VLOOKUP(E365,Лист4!A$2:G$499,7)</f>
        <v>#N/A</v>
      </c>
    </row>
    <row r="366" spans="1:23" ht="15.75">
      <c r="A366" s="314">
        <v>43861.333333333336</v>
      </c>
      <c r="B366" s="314">
        <v>43861.5</v>
      </c>
      <c r="C366" s="314">
        <f>B366-A366</f>
        <v>0.16666666666424135</v>
      </c>
      <c r="D366" s="315">
        <v>4.1666666666666664E-2</v>
      </c>
      <c r="E366" s="329" t="s">
        <v>283</v>
      </c>
      <c r="F366" s="330"/>
      <c r="G366" s="330"/>
      <c r="H366" s="330"/>
      <c r="I366" s="330"/>
      <c r="J366" s="330"/>
      <c r="K366" s="330"/>
      <c r="L366" s="330"/>
      <c r="M366" s="330"/>
      <c r="N366" s="330"/>
      <c r="O366" s="330"/>
      <c r="P366" s="330"/>
      <c r="Q366" s="330"/>
      <c r="R366" s="330"/>
      <c r="S366" s="330"/>
      <c r="T366" s="330"/>
      <c r="U366" s="331"/>
      <c r="V366" s="247" t="e">
        <f>VLOOKUP(E366,Лист4!A$2:G$499,7)</f>
        <v>#N/A</v>
      </c>
      <c r="W366" s="247">
        <f>4*8.333</f>
        <v>33.332000000000001</v>
      </c>
    </row>
    <row r="367" spans="1:23" ht="15.75">
      <c r="A367" s="314">
        <v>43861.5</v>
      </c>
      <c r="B367" s="314">
        <v>43861.534722222219</v>
      </c>
      <c r="C367" s="314">
        <f t="shared" ref="C367:C374" si="27">B367-A367</f>
        <v>3.4722222218988463E-2</v>
      </c>
      <c r="D367" s="315">
        <v>3.4722222222222224E-2</v>
      </c>
      <c r="E367" s="329" t="s">
        <v>16</v>
      </c>
      <c r="F367" s="330"/>
      <c r="G367" s="330"/>
      <c r="H367" s="330"/>
      <c r="I367" s="330"/>
      <c r="J367" s="330"/>
      <c r="K367" s="330"/>
      <c r="L367" s="330"/>
      <c r="M367" s="330"/>
      <c r="N367" s="330"/>
      <c r="O367" s="330"/>
      <c r="P367" s="330"/>
      <c r="Q367" s="330"/>
      <c r="R367" s="330"/>
      <c r="S367" s="330"/>
      <c r="T367" s="330"/>
      <c r="U367" s="331"/>
      <c r="V367" s="247" t="e">
        <f>VLOOKUP(E367,Лист4!A$2:G$499,7)</f>
        <v>#N/A</v>
      </c>
      <c r="W367" s="247">
        <f>IF(ISNA(V367),VLOOKUP(E367,категория!A$16:C$41,3,),11.12+R367*8.333/VLOOKUP(V367,категория!A$16:C$41,2,))</f>
        <v>6.94</v>
      </c>
    </row>
    <row r="368" spans="1:23" ht="15.75">
      <c r="A368" s="314">
        <v>43861.534722222219</v>
      </c>
      <c r="B368" s="314">
        <v>43861.548611111109</v>
      </c>
      <c r="C368" s="314">
        <f t="shared" si="27"/>
        <v>1.3888888890505768E-2</v>
      </c>
      <c r="D368" s="315">
        <v>1.3888888888888888E-2</v>
      </c>
      <c r="E368" s="329" t="s">
        <v>8</v>
      </c>
      <c r="F368" s="330"/>
      <c r="G368" s="330"/>
      <c r="H368" s="330"/>
      <c r="I368" s="330"/>
      <c r="J368" s="330"/>
      <c r="K368" s="330"/>
      <c r="L368" s="330"/>
      <c r="M368" s="330"/>
      <c r="N368" s="330"/>
      <c r="O368" s="330"/>
      <c r="P368" s="330"/>
      <c r="Q368" s="330"/>
      <c r="R368" s="330"/>
      <c r="S368" s="330"/>
      <c r="T368" s="330"/>
      <c r="U368" s="331"/>
      <c r="V368" s="247" t="e">
        <f>VLOOKUP(E368,Лист4!A$2:G$499,7)</f>
        <v>#N/A</v>
      </c>
      <c r="W368" s="247">
        <f>IF(ISNA(V368),VLOOKUP(E368,категория!A$16:C$41,3,),11.12+R368*8.333/VLOOKUP(V368,категория!A$16:C$41,2,))</f>
        <v>4.17</v>
      </c>
    </row>
    <row r="369" spans="1:23" ht="15.75">
      <c r="A369" s="314">
        <v>43861.548611111109</v>
      </c>
      <c r="B369" s="314">
        <v>43861.569444444445</v>
      </c>
      <c r="C369" s="314">
        <f t="shared" si="27"/>
        <v>2.0833333335758653E-2</v>
      </c>
      <c r="D369" s="315">
        <v>2.0833333333333332E-2</v>
      </c>
      <c r="E369" s="329" t="s">
        <v>23</v>
      </c>
      <c r="F369" s="330"/>
      <c r="G369" s="330"/>
      <c r="H369" s="330"/>
      <c r="I369" s="330"/>
      <c r="J369" s="330"/>
      <c r="K369" s="330"/>
      <c r="L369" s="330"/>
      <c r="M369" s="330"/>
      <c r="N369" s="330"/>
      <c r="O369" s="330"/>
      <c r="P369" s="330"/>
      <c r="Q369" s="330"/>
      <c r="R369" s="330"/>
      <c r="S369" s="330"/>
      <c r="T369" s="330"/>
      <c r="U369" s="331"/>
      <c r="V369" s="247" t="e">
        <f>VLOOKUP(E369,Лист4!A$2:G$499,7)</f>
        <v>#N/A</v>
      </c>
      <c r="W369" s="247">
        <f>IF(ISNA(V369),VLOOKUP(E369,категория!A$16:C$41,3,),11.12+R369*8.333/VLOOKUP(V369,категория!A$16:C$41,2,))</f>
        <v>2.78</v>
      </c>
    </row>
    <row r="370" spans="1:23" ht="60">
      <c r="A370" s="314">
        <v>43861.569444444445</v>
      </c>
      <c r="B370" s="314">
        <v>43861.625</v>
      </c>
      <c r="C370" s="314">
        <f t="shared" si="27"/>
        <v>5.5555555554747116E-2</v>
      </c>
      <c r="D370" s="315">
        <v>5.5555555555555552E-2</v>
      </c>
      <c r="E370" s="316">
        <v>279</v>
      </c>
      <c r="F370" s="317" t="s">
        <v>697</v>
      </c>
      <c r="G370" s="317" t="s">
        <v>698</v>
      </c>
      <c r="H370" s="318" t="s">
        <v>289</v>
      </c>
      <c r="I370" s="319">
        <v>43867.420138888891</v>
      </c>
      <c r="J370" s="320"/>
      <c r="K370" s="316" t="s">
        <v>227</v>
      </c>
      <c r="L370" s="321"/>
      <c r="M370" s="322"/>
      <c r="N370" s="317" t="s">
        <v>35</v>
      </c>
      <c r="O370" s="316">
        <v>300</v>
      </c>
      <c r="P370" s="316" t="s">
        <v>236</v>
      </c>
      <c r="Q370" s="323" t="s">
        <v>229</v>
      </c>
      <c r="R370" s="324">
        <v>120</v>
      </c>
      <c r="S370" s="324">
        <v>308</v>
      </c>
      <c r="T370" s="320" t="s">
        <v>232</v>
      </c>
      <c r="U370" s="324" t="s">
        <v>36</v>
      </c>
      <c r="V370" s="247" t="str">
        <f>VLOOKUP(E370,Лист4!A$2:G$499,7)</f>
        <v>картон от 270</v>
      </c>
      <c r="W370" s="247">
        <f>IF(ISNA(V370),VLOOKUP(E370,категория!A$16:C$41,3,),11.12+R370*8.333/VLOOKUP(V370,категория!A$16:C$41,2,))</f>
        <v>11.675533333333332</v>
      </c>
    </row>
    <row r="371" spans="1:23" ht="15.75">
      <c r="A371" s="314">
        <v>43861.625</v>
      </c>
      <c r="B371" s="314">
        <v>43861.666666666664</v>
      </c>
      <c r="C371" s="314">
        <f t="shared" si="27"/>
        <v>4.1666666664241347E-2</v>
      </c>
      <c r="D371" s="315">
        <v>4.1666666666666664E-2</v>
      </c>
      <c r="E371" s="329" t="s">
        <v>28</v>
      </c>
      <c r="F371" s="330"/>
      <c r="G371" s="330"/>
      <c r="H371" s="330"/>
      <c r="I371" s="330"/>
      <c r="J371" s="330"/>
      <c r="K371" s="330"/>
      <c r="L371" s="330"/>
      <c r="M371" s="330"/>
      <c r="N371" s="330"/>
      <c r="O371" s="330"/>
      <c r="P371" s="330"/>
      <c r="Q371" s="330"/>
      <c r="R371" s="330"/>
      <c r="S371" s="330"/>
      <c r="T371" s="330"/>
      <c r="U371" s="331"/>
      <c r="V371" s="247" t="e">
        <f>VLOOKUP(E371,Лист4!A$2:G$499,7)</f>
        <v>#N/A</v>
      </c>
      <c r="W371" s="247">
        <v>8.3330000000000002</v>
      </c>
    </row>
    <row r="372" spans="1:23" ht="15.75">
      <c r="A372" s="314">
        <v>43861.666666666664</v>
      </c>
      <c r="B372" s="314">
        <v>43861.680555555555</v>
      </c>
      <c r="C372" s="314">
        <f t="shared" si="27"/>
        <v>1.3888888890505768E-2</v>
      </c>
      <c r="D372" s="315">
        <v>2.0833333333333332E-2</v>
      </c>
      <c r="E372" s="329" t="s">
        <v>2</v>
      </c>
      <c r="F372" s="330"/>
      <c r="G372" s="330"/>
      <c r="H372" s="330"/>
      <c r="I372" s="330"/>
      <c r="J372" s="330"/>
      <c r="K372" s="330"/>
      <c r="L372" s="330"/>
      <c r="M372" s="330"/>
      <c r="N372" s="330"/>
      <c r="O372" s="330"/>
      <c r="P372" s="330"/>
      <c r="Q372" s="330"/>
      <c r="R372" s="330"/>
      <c r="S372" s="330"/>
      <c r="T372" s="330"/>
      <c r="U372" s="331"/>
      <c r="V372" s="247" t="e">
        <f>VLOOKUP(E372,Лист4!A$2:G$499,7)</f>
        <v>#N/A</v>
      </c>
      <c r="W372" s="247">
        <f>IF(ISNA(V372),VLOOKUP(E372,категория!A$16:C$41,3,),11.12+R372*8.333/VLOOKUP(V372,категория!A$16:C$41,2,))</f>
        <v>4.17</v>
      </c>
    </row>
    <row r="373" spans="1:23" ht="36">
      <c r="A373" s="314">
        <v>43861.680555555555</v>
      </c>
      <c r="B373" s="314">
        <v>43861.694444444445</v>
      </c>
      <c r="C373" s="314">
        <f t="shared" si="27"/>
        <v>1.3888888890505768E-2</v>
      </c>
      <c r="D373" s="315">
        <v>1.3888888888888888E-2</v>
      </c>
      <c r="E373" s="316">
        <v>287</v>
      </c>
      <c r="F373" s="317" t="s">
        <v>341</v>
      </c>
      <c r="G373" s="317" t="s">
        <v>699</v>
      </c>
      <c r="H373" s="318" t="s">
        <v>258</v>
      </c>
      <c r="I373" s="319">
        <v>44204</v>
      </c>
      <c r="J373" s="320"/>
      <c r="K373" s="316" t="s">
        <v>227</v>
      </c>
      <c r="L373" s="321" t="s">
        <v>232</v>
      </c>
      <c r="M373" s="322"/>
      <c r="N373" s="317" t="s">
        <v>35</v>
      </c>
      <c r="O373" s="316">
        <v>230</v>
      </c>
      <c r="P373" s="316" t="s">
        <v>272</v>
      </c>
      <c r="Q373" s="323" t="s">
        <v>229</v>
      </c>
      <c r="R373" s="324">
        <v>400</v>
      </c>
      <c r="S373" s="324">
        <v>548</v>
      </c>
      <c r="T373" s="320" t="s">
        <v>232</v>
      </c>
      <c r="U373" s="324" t="s">
        <v>36</v>
      </c>
      <c r="V373" s="247" t="s">
        <v>60</v>
      </c>
      <c r="W373" s="247">
        <f>IF(ISNA(V373),VLOOKUP(E373,категория!A$16:C$41,3,),11.12+R373*8.333/VLOOKUP(V373,категория!A$16:C$41,2,))</f>
        <v>12.7866</v>
      </c>
    </row>
    <row r="374" spans="1:23" ht="15.75">
      <c r="A374" s="314">
        <v>43861.694444444445</v>
      </c>
      <c r="B374" s="314">
        <v>43861.833333333336</v>
      </c>
      <c r="C374" s="314">
        <f t="shared" si="27"/>
        <v>0.13888888889050577</v>
      </c>
      <c r="D374" s="315">
        <v>4.1666666666666664E-2</v>
      </c>
      <c r="E374" s="329" t="s">
        <v>7</v>
      </c>
      <c r="F374" s="330"/>
      <c r="G374" s="330"/>
      <c r="H374" s="330"/>
      <c r="I374" s="330"/>
      <c r="J374" s="330"/>
      <c r="K374" s="330"/>
      <c r="L374" s="330"/>
      <c r="M374" s="330"/>
      <c r="N374" s="330"/>
      <c r="O374" s="330"/>
      <c r="P374" s="330"/>
      <c r="Q374" s="330"/>
      <c r="R374" s="330"/>
      <c r="S374" s="330"/>
      <c r="T374" s="330"/>
      <c r="U374" s="331"/>
      <c r="V374" s="247" t="e">
        <f>VLOOKUP(E374,Лист4!A$2:G$499,7)</f>
        <v>#N/A</v>
      </c>
      <c r="W374" s="247">
        <f>3.333*8.333</f>
        <v>27.773889</v>
      </c>
    </row>
    <row r="375" spans="1:23" ht="15.75">
      <c r="A375" s="325">
        <v>43861.833333333336</v>
      </c>
      <c r="B375" s="332" t="s">
        <v>700</v>
      </c>
      <c r="C375" s="333"/>
      <c r="D375" s="334"/>
      <c r="E375" s="334"/>
      <c r="F375" s="334"/>
      <c r="G375" s="334"/>
      <c r="H375" s="334"/>
      <c r="I375" s="334"/>
      <c r="J375" s="334"/>
      <c r="K375" s="334"/>
      <c r="L375" s="334"/>
      <c r="M375" s="334"/>
      <c r="N375" s="334"/>
      <c r="O375" s="334"/>
      <c r="P375" s="334"/>
      <c r="Q375" s="334"/>
      <c r="R375" s="334"/>
      <c r="S375" s="334"/>
      <c r="T375" s="334"/>
      <c r="U375" s="335"/>
      <c r="V375" s="247" t="e">
        <f>VLOOKUP(E375,Лист4!A$2:G$499,7)</f>
        <v>#N/A</v>
      </c>
      <c r="W375" s="52">
        <v>100</v>
      </c>
    </row>
    <row r="376" spans="1:23" ht="15.75">
      <c r="A376" s="314">
        <v>43861.833333333336</v>
      </c>
      <c r="B376" s="314">
        <v>43861.854166666664</v>
      </c>
      <c r="C376" s="314">
        <f>B376-A376</f>
        <v>2.0833333328482695E-2</v>
      </c>
      <c r="D376" s="315">
        <v>2.0833333333333332E-2</v>
      </c>
      <c r="E376" s="329" t="s">
        <v>22</v>
      </c>
      <c r="F376" s="330"/>
      <c r="G376" s="330"/>
      <c r="H376" s="330"/>
      <c r="I376" s="330"/>
      <c r="J376" s="330"/>
      <c r="K376" s="330"/>
      <c r="L376" s="330"/>
      <c r="M376" s="330"/>
      <c r="N376" s="330"/>
      <c r="O376" s="330"/>
      <c r="P376" s="330"/>
      <c r="Q376" s="330"/>
      <c r="R376" s="330"/>
      <c r="S376" s="330"/>
      <c r="T376" s="330"/>
      <c r="U376" s="331"/>
      <c r="V376" s="247" t="e">
        <f>VLOOKUP(E376,Лист4!A$2:G$499,7)</f>
        <v>#N/A</v>
      </c>
      <c r="W376" s="247">
        <f>IF(ISNA(V376),VLOOKUP(E376,категория!A$16:C$41,3,),11.12+R376*8.333/VLOOKUP(V376,категория!A$16:C$41,2,))</f>
        <v>4.17</v>
      </c>
    </row>
    <row r="377" spans="1:23" ht="15.75">
      <c r="A377" s="314">
        <v>43861.854166666664</v>
      </c>
      <c r="B377" s="314">
        <v>43861.868055555555</v>
      </c>
      <c r="C377" s="314">
        <f t="shared" ref="C377:C385" si="28">B377-A377</f>
        <v>1.3888888890505768E-2</v>
      </c>
      <c r="D377" s="315">
        <v>4.1666666666666664E-2</v>
      </c>
      <c r="E377" s="329" t="s">
        <v>28</v>
      </c>
      <c r="F377" s="330"/>
      <c r="G377" s="330"/>
      <c r="H377" s="330"/>
      <c r="I377" s="330"/>
      <c r="J377" s="330"/>
      <c r="K377" s="330"/>
      <c r="L377" s="330"/>
      <c r="M377" s="330"/>
      <c r="N377" s="330"/>
      <c r="O377" s="330"/>
      <c r="P377" s="330"/>
      <c r="Q377" s="330"/>
      <c r="R377" s="330"/>
      <c r="S377" s="330"/>
      <c r="T377" s="330"/>
      <c r="U377" s="331"/>
      <c r="V377" s="247" t="e">
        <f>VLOOKUP(E377,Лист4!A$2:G$499,7)</f>
        <v>#N/A</v>
      </c>
      <c r="W377" s="247">
        <f>8.33*0.333</f>
        <v>2.7738900000000002</v>
      </c>
    </row>
    <row r="378" spans="1:23" ht="36">
      <c r="A378" s="314">
        <v>43861.868055555555</v>
      </c>
      <c r="B378" s="314">
        <v>43861.913194444445</v>
      </c>
      <c r="C378" s="314">
        <f t="shared" si="28"/>
        <v>4.5138888890505768E-2</v>
      </c>
      <c r="D378" s="315">
        <v>4.5138888888888888E-2</v>
      </c>
      <c r="E378" s="316">
        <v>287</v>
      </c>
      <c r="F378" s="317" t="s">
        <v>341</v>
      </c>
      <c r="G378" s="317" t="s">
        <v>699</v>
      </c>
      <c r="H378" s="318" t="s">
        <v>259</v>
      </c>
      <c r="I378" s="319">
        <v>44204</v>
      </c>
      <c r="J378" s="320"/>
      <c r="K378" s="316" t="s">
        <v>227</v>
      </c>
      <c r="L378" s="321" t="s">
        <v>232</v>
      </c>
      <c r="M378" s="322"/>
      <c r="N378" s="317" t="s">
        <v>35</v>
      </c>
      <c r="O378" s="316">
        <v>230</v>
      </c>
      <c r="P378" s="316" t="s">
        <v>272</v>
      </c>
      <c r="Q378" s="323" t="s">
        <v>229</v>
      </c>
      <c r="R378" s="324">
        <v>1650</v>
      </c>
      <c r="S378" s="324">
        <v>1782</v>
      </c>
      <c r="T378" s="320" t="s">
        <v>232</v>
      </c>
      <c r="U378" s="324" t="s">
        <v>593</v>
      </c>
      <c r="V378" s="247" t="s">
        <v>60</v>
      </c>
      <c r="W378" s="247">
        <f>IF(ISNA(V378),VLOOKUP(E378,категория!A$16:C$41,3,),11.12+R378*8.333/VLOOKUP(V378,категория!A$16:C$41,2,))</f>
        <v>17.994724999999999</v>
      </c>
    </row>
    <row r="379" spans="1:23" ht="15.75">
      <c r="A379" s="314">
        <v>43861.913194444445</v>
      </c>
      <c r="B379" s="314">
        <v>43861.923611111109</v>
      </c>
      <c r="C379" s="314">
        <f t="shared" si="28"/>
        <v>1.0416666664241347E-2</v>
      </c>
      <c r="D379" s="315">
        <v>2.0833333333333332E-2</v>
      </c>
      <c r="E379" s="329" t="s">
        <v>8</v>
      </c>
      <c r="F379" s="330"/>
      <c r="G379" s="330"/>
      <c r="H379" s="330"/>
      <c r="I379" s="330"/>
      <c r="J379" s="330"/>
      <c r="K379" s="330"/>
      <c r="L379" s="330"/>
      <c r="M379" s="330"/>
      <c r="N379" s="330"/>
      <c r="O379" s="330"/>
      <c r="P379" s="330"/>
      <c r="Q379" s="330"/>
      <c r="R379" s="330"/>
      <c r="S379" s="330"/>
      <c r="T379" s="330"/>
      <c r="U379" s="331"/>
      <c r="V379" s="247" t="e">
        <f>VLOOKUP(E379,Лист4!A$2:G$499,7)</f>
        <v>#N/A</v>
      </c>
      <c r="W379" s="247">
        <f>IF(ISNA(V379),VLOOKUP(E379,категория!A$16:C$41,3,),11.12+R379*8.333/VLOOKUP(V379,категория!A$16:C$41,2,))</f>
        <v>4.17</v>
      </c>
    </row>
    <row r="380" spans="1:23" ht="15.75">
      <c r="A380" s="314">
        <v>43861.923611111109</v>
      </c>
      <c r="B380" s="314">
        <v>43862.013888888891</v>
      </c>
      <c r="C380" s="314">
        <f t="shared" si="28"/>
        <v>9.0277777781011537E-2</v>
      </c>
      <c r="D380" s="315">
        <v>0.5</v>
      </c>
      <c r="E380" s="329" t="s">
        <v>10</v>
      </c>
      <c r="F380" s="330"/>
      <c r="G380" s="330"/>
      <c r="H380" s="330"/>
      <c r="I380" s="330"/>
      <c r="J380" s="330"/>
      <c r="K380" s="330"/>
      <c r="L380" s="330"/>
      <c r="M380" s="330"/>
      <c r="N380" s="330"/>
      <c r="O380" s="330"/>
      <c r="P380" s="330"/>
      <c r="Q380" s="330"/>
      <c r="R380" s="330"/>
      <c r="S380" s="330"/>
      <c r="T380" s="330"/>
      <c r="U380" s="331"/>
      <c r="V380" s="247" t="e">
        <f>VLOOKUP(E380,Лист4!A$2:G$499,7)</f>
        <v>#N/A</v>
      </c>
      <c r="W380" s="247">
        <f>IF(ISNA(V380),VLOOKUP(E380,категория!A$16:C$41,3,),11.12+R380*8.333/VLOOKUP(V380,категория!A$16:C$41,2,))</f>
        <v>8.3332999999999995</v>
      </c>
    </row>
    <row r="381" spans="1:23" ht="48">
      <c r="A381" s="314">
        <v>43862.013888888891</v>
      </c>
      <c r="B381" s="314">
        <v>43862.180555555555</v>
      </c>
      <c r="C381" s="314">
        <f t="shared" si="28"/>
        <v>0.16666666666424135</v>
      </c>
      <c r="D381" s="315">
        <v>0.16666666666666666</v>
      </c>
      <c r="E381" s="316">
        <v>253</v>
      </c>
      <c r="F381" s="317" t="s">
        <v>271</v>
      </c>
      <c r="G381" s="317" t="s">
        <v>701</v>
      </c>
      <c r="H381" s="318" t="s">
        <v>613</v>
      </c>
      <c r="I381" s="319">
        <v>43861</v>
      </c>
      <c r="J381" s="320" t="s">
        <v>232</v>
      </c>
      <c r="K381" s="316" t="s">
        <v>227</v>
      </c>
      <c r="L381" s="321"/>
      <c r="M381" s="322"/>
      <c r="N381" s="317" t="s">
        <v>40</v>
      </c>
      <c r="O381" s="316">
        <v>325</v>
      </c>
      <c r="P381" s="316" t="s">
        <v>228</v>
      </c>
      <c r="Q381" s="323" t="s">
        <v>229</v>
      </c>
      <c r="R381" s="324">
        <v>5250</v>
      </c>
      <c r="S381" s="324">
        <v>5636</v>
      </c>
      <c r="T381" s="320"/>
      <c r="U381" s="324" t="s">
        <v>593</v>
      </c>
      <c r="V381" s="247" t="str">
        <f>VLOOKUP(E381,Лист4!A$2:G$499,7)</f>
        <v>картон от 270</v>
      </c>
      <c r="W381" s="247">
        <f>IF(ISNA(V381),VLOOKUP(E381,категория!A$16:C$41,3,),11.12+R381*8.333/VLOOKUP(V381,категория!A$16:C$41,2,))</f>
        <v>35.424583333333331</v>
      </c>
    </row>
    <row r="382" spans="1:23" ht="15.75">
      <c r="A382" s="314">
        <v>43862.180555555555</v>
      </c>
      <c r="B382" s="314">
        <v>43862.190972222219</v>
      </c>
      <c r="C382" s="314">
        <f t="shared" si="28"/>
        <v>1.0416666664241347E-2</v>
      </c>
      <c r="D382" s="315">
        <v>2.0833333333333332E-2</v>
      </c>
      <c r="E382" s="329" t="s">
        <v>2</v>
      </c>
      <c r="F382" s="330"/>
      <c r="G382" s="330"/>
      <c r="H382" s="330"/>
      <c r="I382" s="330"/>
      <c r="J382" s="330"/>
      <c r="K382" s="330"/>
      <c r="L382" s="330"/>
      <c r="M382" s="330"/>
      <c r="N382" s="330"/>
      <c r="O382" s="330"/>
      <c r="P382" s="330"/>
      <c r="Q382" s="330"/>
      <c r="R382" s="330"/>
      <c r="S382" s="330"/>
      <c r="T382" s="330"/>
      <c r="U382" s="331"/>
      <c r="V382" s="247" t="e">
        <f>VLOOKUP(E382,Лист4!A$2:G$499,7)</f>
        <v>#N/A</v>
      </c>
      <c r="W382" s="247">
        <f>IF(ISNA(V382),VLOOKUP(E382,категория!A$16:C$41,3,),11.12+R382*8.333/VLOOKUP(V382,категория!A$16:C$41,2,))</f>
        <v>4.17</v>
      </c>
    </row>
    <row r="383" spans="1:23" ht="15.75">
      <c r="A383" s="314">
        <v>43862.190972222219</v>
      </c>
      <c r="B383" s="314">
        <v>43862.211805555555</v>
      </c>
      <c r="C383" s="314">
        <f t="shared" si="28"/>
        <v>2.0833333335758653E-2</v>
      </c>
      <c r="D383" s="315">
        <v>2.0833333333333332E-2</v>
      </c>
      <c r="E383" s="329" t="s">
        <v>23</v>
      </c>
      <c r="F383" s="330"/>
      <c r="G383" s="330"/>
      <c r="H383" s="330"/>
      <c r="I383" s="330"/>
      <c r="J383" s="330"/>
      <c r="K383" s="330"/>
      <c r="L383" s="330"/>
      <c r="M383" s="330"/>
      <c r="N383" s="330"/>
      <c r="O383" s="330"/>
      <c r="P383" s="330"/>
      <c r="Q383" s="330"/>
      <c r="R383" s="330"/>
      <c r="S383" s="330"/>
      <c r="T383" s="330"/>
      <c r="U383" s="331"/>
      <c r="V383" s="247" t="e">
        <f>VLOOKUP(E383,Лист4!A$2:G$499,7)</f>
        <v>#N/A</v>
      </c>
      <c r="W383" s="247">
        <f>IF(ISNA(V383),VLOOKUP(E383,категория!A$16:C$41,3,),11.12+R383*8.333/VLOOKUP(V383,категория!A$16:C$41,2,))</f>
        <v>2.78</v>
      </c>
    </row>
    <row r="384" spans="1:23" ht="15.75">
      <c r="A384" s="314">
        <v>43862.211805555555</v>
      </c>
      <c r="B384" s="314">
        <v>43862.3125</v>
      </c>
      <c r="C384" s="314">
        <f t="shared" si="28"/>
        <v>0.10069444444525288</v>
      </c>
      <c r="D384" s="315">
        <v>4.1666666666666664E-2</v>
      </c>
      <c r="E384" s="329" t="s">
        <v>7</v>
      </c>
      <c r="F384" s="330"/>
      <c r="G384" s="330"/>
      <c r="H384" s="330"/>
      <c r="I384" s="330"/>
      <c r="J384" s="330"/>
      <c r="K384" s="330"/>
      <c r="L384" s="330"/>
      <c r="M384" s="330"/>
      <c r="N384" s="330"/>
      <c r="O384" s="330"/>
      <c r="P384" s="330"/>
      <c r="Q384" s="330"/>
      <c r="R384" s="330"/>
      <c r="S384" s="330"/>
      <c r="T384" s="330"/>
      <c r="U384" s="331"/>
      <c r="V384" s="247" t="e">
        <f>VLOOKUP(E384,Лист4!A$2:G$499,7)</f>
        <v>#N/A</v>
      </c>
      <c r="W384" s="247">
        <f>2.5*8.333</f>
        <v>20.8325</v>
      </c>
    </row>
    <row r="385" spans="1:23" ht="15.75">
      <c r="A385" s="314">
        <v>43862.3125</v>
      </c>
      <c r="B385" s="314">
        <v>43862.333333333336</v>
      </c>
      <c r="C385" s="314">
        <f t="shared" si="28"/>
        <v>2.0833333335758653E-2</v>
      </c>
      <c r="D385" s="315">
        <v>2.0833333333333332E-2</v>
      </c>
      <c r="E385" s="329" t="s">
        <v>22</v>
      </c>
      <c r="F385" s="330"/>
      <c r="G385" s="330"/>
      <c r="H385" s="330"/>
      <c r="I385" s="330"/>
      <c r="J385" s="330"/>
      <c r="K385" s="330"/>
      <c r="L385" s="330"/>
      <c r="M385" s="330"/>
      <c r="N385" s="330"/>
      <c r="O385" s="330"/>
      <c r="P385" s="330"/>
      <c r="Q385" s="330"/>
      <c r="R385" s="330"/>
      <c r="S385" s="330"/>
      <c r="T385" s="330"/>
      <c r="U385" s="331"/>
      <c r="V385" s="247" t="e">
        <f>VLOOKUP(E385,Лист4!A$2:G$499,7)</f>
        <v>#N/A</v>
      </c>
      <c r="W385" s="247">
        <f>IF(ISNA(V385),VLOOKUP(E385,категория!A$16:C$41,3,),11.12+R385*8.333/VLOOKUP(V385,категория!A$16:C$41,2,))</f>
        <v>4.17</v>
      </c>
    </row>
    <row r="386" spans="1:23">
      <c r="W386" s="52">
        <f>SUM(W376:W385)</f>
        <v>104.81899833333334</v>
      </c>
    </row>
  </sheetData>
  <mergeCells count="326">
    <mergeCell ref="B105:U105"/>
    <mergeCell ref="E5:U5"/>
    <mergeCell ref="E7:U7"/>
    <mergeCell ref="E8:U8"/>
    <mergeCell ref="E9:U9"/>
    <mergeCell ref="E12:U12"/>
    <mergeCell ref="E13:U13"/>
    <mergeCell ref="B4:U4"/>
    <mergeCell ref="B14:U14"/>
    <mergeCell ref="F11:U11"/>
    <mergeCell ref="B61:B62"/>
    <mergeCell ref="D61:D62"/>
    <mergeCell ref="E61:E62"/>
    <mergeCell ref="E60:U60"/>
    <mergeCell ref="E63:U63"/>
    <mergeCell ref="E65:U65"/>
    <mergeCell ref="E66:U66"/>
    <mergeCell ref="E67:U67"/>
    <mergeCell ref="E69:U69"/>
    <mergeCell ref="F62:U62"/>
    <mergeCell ref="E95:U95"/>
    <mergeCell ref="E96:U96"/>
    <mergeCell ref="E97:U97"/>
    <mergeCell ref="E99:U99"/>
    <mergeCell ref="E209:U209"/>
    <mergeCell ref="E210:U210"/>
    <mergeCell ref="E211:U211"/>
    <mergeCell ref="E223:U223"/>
    <mergeCell ref="E225:U225"/>
    <mergeCell ref="E226:U226"/>
    <mergeCell ref="E227:U227"/>
    <mergeCell ref="E228:U228"/>
    <mergeCell ref="E230:U230"/>
    <mergeCell ref="E213:U213"/>
    <mergeCell ref="E214:U214"/>
    <mergeCell ref="E215:U215"/>
    <mergeCell ref="E265:U265"/>
    <mergeCell ref="E266:U266"/>
    <mergeCell ref="E268:U268"/>
    <mergeCell ref="E269:U269"/>
    <mergeCell ref="E270:U270"/>
    <mergeCell ref="E272:U272"/>
    <mergeCell ref="E256:U256"/>
    <mergeCell ref="E258:U258"/>
    <mergeCell ref="E260:U260"/>
    <mergeCell ref="E261:U261"/>
    <mergeCell ref="E262:U262"/>
    <mergeCell ref="E264:U264"/>
    <mergeCell ref="B344:U344"/>
    <mergeCell ref="B346:U346"/>
    <mergeCell ref="B354:U354"/>
    <mergeCell ref="E343:U343"/>
    <mergeCell ref="E345:U345"/>
    <mergeCell ref="E324:U324"/>
    <mergeCell ref="E325:U325"/>
    <mergeCell ref="E327:U327"/>
    <mergeCell ref="B335:U335"/>
    <mergeCell ref="B342:U342"/>
    <mergeCell ref="E340:U340"/>
    <mergeCell ref="E341:U341"/>
    <mergeCell ref="E328:U328"/>
    <mergeCell ref="E331:U331"/>
    <mergeCell ref="E334:U334"/>
    <mergeCell ref="E336:U336"/>
    <mergeCell ref="E337:U337"/>
    <mergeCell ref="E339:U339"/>
    <mergeCell ref="A10:A11"/>
    <mergeCell ref="B10:B11"/>
    <mergeCell ref="D10:D11"/>
    <mergeCell ref="E10:E11"/>
    <mergeCell ref="E385:U385"/>
    <mergeCell ref="E377:U377"/>
    <mergeCell ref="E379:U379"/>
    <mergeCell ref="E380:U380"/>
    <mergeCell ref="E382:U382"/>
    <mergeCell ref="E383:U383"/>
    <mergeCell ref="E384:U384"/>
    <mergeCell ref="E364:U364"/>
    <mergeCell ref="E362:U362"/>
    <mergeCell ref="B363:U363"/>
    <mergeCell ref="E368:U368"/>
    <mergeCell ref="E369:U369"/>
    <mergeCell ref="E371:U371"/>
    <mergeCell ref="E372:U372"/>
    <mergeCell ref="E374:U374"/>
    <mergeCell ref="E376:U376"/>
    <mergeCell ref="B365:U365"/>
    <mergeCell ref="B375:U375"/>
    <mergeCell ref="E366:U366"/>
    <mergeCell ref="A61:A62"/>
    <mergeCell ref="E357:U357"/>
    <mergeCell ref="E358:U358"/>
    <mergeCell ref="E360:U360"/>
    <mergeCell ref="E361:U361"/>
    <mergeCell ref="E347:U347"/>
    <mergeCell ref="E348:U348"/>
    <mergeCell ref="E349:U349"/>
    <mergeCell ref="E350:U350"/>
    <mergeCell ref="E352:U352"/>
    <mergeCell ref="E353:U353"/>
    <mergeCell ref="B356:U356"/>
    <mergeCell ref="E355:U355"/>
    <mergeCell ref="E320:U320"/>
    <mergeCell ref="E321:U321"/>
    <mergeCell ref="E323:U323"/>
    <mergeCell ref="E312:U312"/>
    <mergeCell ref="E313:U313"/>
    <mergeCell ref="E314:U314"/>
    <mergeCell ref="E315:U315"/>
    <mergeCell ref="E317:U317"/>
    <mergeCell ref="E318:U318"/>
    <mergeCell ref="E303:U303"/>
    <mergeCell ref="E304:U304"/>
    <mergeCell ref="E306:U306"/>
    <mergeCell ref="E307:U307"/>
    <mergeCell ref="E309:U309"/>
    <mergeCell ref="E311:U311"/>
    <mergeCell ref="E300:U300"/>
    <mergeCell ref="E302:U302"/>
    <mergeCell ref="E281:U281"/>
    <mergeCell ref="E282:U282"/>
    <mergeCell ref="E283:U283"/>
    <mergeCell ref="E285:U285"/>
    <mergeCell ref="E286:U286"/>
    <mergeCell ref="E288:U288"/>
    <mergeCell ref="E298:U298"/>
    <mergeCell ref="E299:U299"/>
    <mergeCell ref="E273:U273"/>
    <mergeCell ref="E274:U274"/>
    <mergeCell ref="E276:U276"/>
    <mergeCell ref="E277:U277"/>
    <mergeCell ref="E278:U278"/>
    <mergeCell ref="E280:U280"/>
    <mergeCell ref="B279:U279"/>
    <mergeCell ref="E295:U295"/>
    <mergeCell ref="E296:U296"/>
    <mergeCell ref="E248:U248"/>
    <mergeCell ref="E249:U249"/>
    <mergeCell ref="E250:U250"/>
    <mergeCell ref="E252:U252"/>
    <mergeCell ref="E253:U253"/>
    <mergeCell ref="E255:U255"/>
    <mergeCell ref="E231:U231"/>
    <mergeCell ref="E232:U232"/>
    <mergeCell ref="E234:U234"/>
    <mergeCell ref="E235:U235"/>
    <mergeCell ref="E236:U236"/>
    <mergeCell ref="E237:U237"/>
    <mergeCell ref="E239:U239"/>
    <mergeCell ref="E240:U240"/>
    <mergeCell ref="E241:U241"/>
    <mergeCell ref="E243:U243"/>
    <mergeCell ref="E245:U245"/>
    <mergeCell ref="E246:U246"/>
    <mergeCell ref="E197:U197"/>
    <mergeCell ref="E199:U199"/>
    <mergeCell ref="E201:U201"/>
    <mergeCell ref="E202:U202"/>
    <mergeCell ref="E206:U206"/>
    <mergeCell ref="E208:U208"/>
    <mergeCell ref="E183:U183"/>
    <mergeCell ref="E185:U185"/>
    <mergeCell ref="E186:U186"/>
    <mergeCell ref="E187:U187"/>
    <mergeCell ref="E188:U188"/>
    <mergeCell ref="E190:U190"/>
    <mergeCell ref="E175:U175"/>
    <mergeCell ref="E176:U176"/>
    <mergeCell ref="E177:U177"/>
    <mergeCell ref="E179:U179"/>
    <mergeCell ref="E180:U180"/>
    <mergeCell ref="E182:U182"/>
    <mergeCell ref="E174:U174"/>
    <mergeCell ref="E160:U160"/>
    <mergeCell ref="E161:U161"/>
    <mergeCell ref="E162:U162"/>
    <mergeCell ref="E163:U163"/>
    <mergeCell ref="E165:U165"/>
    <mergeCell ref="E166:U166"/>
    <mergeCell ref="E170:U170"/>
    <mergeCell ref="E171:U171"/>
    <mergeCell ref="E172:U172"/>
    <mergeCell ref="E150:U150"/>
    <mergeCell ref="E151:U151"/>
    <mergeCell ref="E152:U152"/>
    <mergeCell ref="E154:U154"/>
    <mergeCell ref="E156:U156"/>
    <mergeCell ref="E158:U158"/>
    <mergeCell ref="B157:U157"/>
    <mergeCell ref="B169:U169"/>
    <mergeCell ref="E167:U167"/>
    <mergeCell ref="E168:U168"/>
    <mergeCell ref="E141:U141"/>
    <mergeCell ref="E142:U142"/>
    <mergeCell ref="E144:U144"/>
    <mergeCell ref="E145:U145"/>
    <mergeCell ref="E147:U147"/>
    <mergeCell ref="E149:U149"/>
    <mergeCell ref="E126:U126"/>
    <mergeCell ref="E128:U128"/>
    <mergeCell ref="E130:U130"/>
    <mergeCell ref="E132:U132"/>
    <mergeCell ref="E133:U133"/>
    <mergeCell ref="E135:U135"/>
    <mergeCell ref="B129:U129"/>
    <mergeCell ref="B134:U134"/>
    <mergeCell ref="B146:U146"/>
    <mergeCell ref="B148:U148"/>
    <mergeCell ref="E136:U136"/>
    <mergeCell ref="E138:U138"/>
    <mergeCell ref="E139:U139"/>
    <mergeCell ref="E140:U140"/>
    <mergeCell ref="E125:U125"/>
    <mergeCell ref="E110:U110"/>
    <mergeCell ref="E111:U111"/>
    <mergeCell ref="E112:U112"/>
    <mergeCell ref="E114:U114"/>
    <mergeCell ref="E115:U115"/>
    <mergeCell ref="E116:U116"/>
    <mergeCell ref="B117:U117"/>
    <mergeCell ref="B120:U120"/>
    <mergeCell ref="E118:U118"/>
    <mergeCell ref="E119:U119"/>
    <mergeCell ref="E93:U93"/>
    <mergeCell ref="B98:U98"/>
    <mergeCell ref="E102:U102"/>
    <mergeCell ref="E103:U103"/>
    <mergeCell ref="E86:U86"/>
    <mergeCell ref="E87:U87"/>
    <mergeCell ref="E88:U88"/>
    <mergeCell ref="E90:U90"/>
    <mergeCell ref="E91:U91"/>
    <mergeCell ref="B100:U100"/>
    <mergeCell ref="B101:U101"/>
    <mergeCell ref="E53:U53"/>
    <mergeCell ref="E54:U54"/>
    <mergeCell ref="E56:U56"/>
    <mergeCell ref="E57:U57"/>
    <mergeCell ref="E58:U58"/>
    <mergeCell ref="E59:U59"/>
    <mergeCell ref="E37:U37"/>
    <mergeCell ref="E39:U39"/>
    <mergeCell ref="E40:U40"/>
    <mergeCell ref="E41:U41"/>
    <mergeCell ref="E42:U42"/>
    <mergeCell ref="E43:U43"/>
    <mergeCell ref="B45:U45"/>
    <mergeCell ref="B46:U46"/>
    <mergeCell ref="B47:U47"/>
    <mergeCell ref="B48:U48"/>
    <mergeCell ref="B49:U49"/>
    <mergeCell ref="B52:U52"/>
    <mergeCell ref="E50:U50"/>
    <mergeCell ref="E51:U51"/>
    <mergeCell ref="E16:U16"/>
    <mergeCell ref="E18:U18"/>
    <mergeCell ref="E21:U21"/>
    <mergeCell ref="E23:U23"/>
    <mergeCell ref="E24:U24"/>
    <mergeCell ref="E26:U26"/>
    <mergeCell ref="E28:U28"/>
    <mergeCell ref="E30:U30"/>
    <mergeCell ref="B333:U333"/>
    <mergeCell ref="B287:U287"/>
    <mergeCell ref="B305:U305"/>
    <mergeCell ref="B319:U319"/>
    <mergeCell ref="B329:U329"/>
    <mergeCell ref="B330:U330"/>
    <mergeCell ref="B332:U332"/>
    <mergeCell ref="E290:U290"/>
    <mergeCell ref="E291:U291"/>
    <mergeCell ref="E292:U292"/>
    <mergeCell ref="E294:U294"/>
    <mergeCell ref="B216:U216"/>
    <mergeCell ref="B233:U233"/>
    <mergeCell ref="B244:U244"/>
    <mergeCell ref="B257:U257"/>
    <mergeCell ref="B263:U263"/>
    <mergeCell ref="E75:U75"/>
    <mergeCell ref="E217:U217"/>
    <mergeCell ref="E219:U219"/>
    <mergeCell ref="E220:U220"/>
    <mergeCell ref="E222:U222"/>
    <mergeCell ref="B184:U184"/>
    <mergeCell ref="B196:U196"/>
    <mergeCell ref="B203:U203"/>
    <mergeCell ref="B204:U204"/>
    <mergeCell ref="B205:U205"/>
    <mergeCell ref="B207:U207"/>
    <mergeCell ref="E191:U191"/>
    <mergeCell ref="E192:U192"/>
    <mergeCell ref="E193:U193"/>
    <mergeCell ref="E195:U195"/>
    <mergeCell ref="E77:U77"/>
    <mergeCell ref="E78:U78"/>
    <mergeCell ref="E80:U80"/>
    <mergeCell ref="E81:U81"/>
    <mergeCell ref="E83:U83"/>
    <mergeCell ref="E85:U85"/>
    <mergeCell ref="E121:U121"/>
    <mergeCell ref="E122:U122"/>
    <mergeCell ref="E124:U124"/>
    <mergeCell ref="E367:U367"/>
    <mergeCell ref="B15:U15"/>
    <mergeCell ref="B17:U17"/>
    <mergeCell ref="B22:U22"/>
    <mergeCell ref="B27:U27"/>
    <mergeCell ref="B35:U35"/>
    <mergeCell ref="B44:U44"/>
    <mergeCell ref="E31:U31"/>
    <mergeCell ref="E32:U32"/>
    <mergeCell ref="E34:U34"/>
    <mergeCell ref="E36:U36"/>
    <mergeCell ref="E104:U104"/>
    <mergeCell ref="E106:U106"/>
    <mergeCell ref="E107:U107"/>
    <mergeCell ref="E109:U109"/>
    <mergeCell ref="B68:U68"/>
    <mergeCell ref="B74:U74"/>
    <mergeCell ref="B76:U76"/>
    <mergeCell ref="B82:U82"/>
    <mergeCell ref="B84:U84"/>
    <mergeCell ref="B92:U92"/>
    <mergeCell ref="E71:U71"/>
    <mergeCell ref="E72:U72"/>
    <mergeCell ref="E73:U73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250"/>
  <sheetViews>
    <sheetView topLeftCell="A845" workbookViewId="0">
      <selection activeCell="E351" sqref="E351:U351"/>
    </sheetView>
  </sheetViews>
  <sheetFormatPr defaultRowHeight="15"/>
  <cols>
    <col min="3" max="3" width="10.140625" style="53" customWidth="1"/>
    <col min="8" max="9" width="11.85546875" customWidth="1"/>
    <col min="21" max="21" width="9.42578125" customWidth="1"/>
    <col min="22" max="22" width="16.140625" customWidth="1"/>
  </cols>
  <sheetData>
    <row r="1" spans="1:23">
      <c r="A1" s="172" t="s">
        <v>224</v>
      </c>
      <c r="B1" s="111"/>
      <c r="C1" s="174"/>
      <c r="D1" s="120"/>
      <c r="E1" s="111"/>
      <c r="F1" s="115"/>
      <c r="G1" s="115"/>
      <c r="H1" s="121"/>
      <c r="I1" s="125"/>
      <c r="J1" s="126"/>
      <c r="K1" s="106"/>
      <c r="L1" s="127"/>
      <c r="M1" s="128"/>
      <c r="N1" s="115"/>
      <c r="O1" s="111"/>
      <c r="P1" s="111"/>
      <c r="Q1" s="129"/>
      <c r="R1" s="106"/>
      <c r="S1" s="130"/>
      <c r="T1" s="131"/>
      <c r="U1" s="132"/>
    </row>
    <row r="2" spans="1:23" ht="24">
      <c r="A2" s="108" t="s">
        <v>150</v>
      </c>
      <c r="B2" s="109" t="s">
        <v>151</v>
      </c>
      <c r="C2" s="173"/>
      <c r="D2" s="114" t="s">
        <v>152</v>
      </c>
      <c r="E2" s="112" t="s">
        <v>153</v>
      </c>
      <c r="F2" s="110" t="s">
        <v>154</v>
      </c>
      <c r="G2" s="110" t="s">
        <v>155</v>
      </c>
      <c r="H2" s="110" t="s">
        <v>156</v>
      </c>
      <c r="I2" s="113" t="s">
        <v>157</v>
      </c>
      <c r="J2" s="116" t="s">
        <v>158</v>
      </c>
      <c r="K2" s="107" t="s">
        <v>159</v>
      </c>
      <c r="L2" s="116" t="s">
        <v>160</v>
      </c>
      <c r="M2" s="122" t="s">
        <v>161</v>
      </c>
      <c r="N2" s="110" t="s">
        <v>162</v>
      </c>
      <c r="O2" s="107" t="s">
        <v>163</v>
      </c>
      <c r="P2" s="110" t="s">
        <v>164</v>
      </c>
      <c r="Q2" s="117" t="s">
        <v>165</v>
      </c>
      <c r="R2" s="110" t="s">
        <v>166</v>
      </c>
      <c r="S2" s="110" t="s">
        <v>167</v>
      </c>
      <c r="T2" s="117" t="s">
        <v>168</v>
      </c>
      <c r="U2" s="117" t="s">
        <v>169</v>
      </c>
      <c r="V2" s="55" t="s">
        <v>208</v>
      </c>
      <c r="W2" s="55" t="s">
        <v>63</v>
      </c>
    </row>
    <row r="3" spans="1:23">
      <c r="A3" s="108"/>
      <c r="B3" s="109"/>
      <c r="C3" s="173"/>
      <c r="D3" s="114"/>
      <c r="E3" s="107"/>
      <c r="F3" s="110"/>
      <c r="G3" s="110"/>
      <c r="H3" s="110"/>
      <c r="I3" s="113"/>
      <c r="J3" s="118"/>
      <c r="K3" s="107"/>
      <c r="L3" s="124"/>
      <c r="M3" s="122"/>
      <c r="N3" s="110"/>
      <c r="O3" s="107"/>
      <c r="P3" s="107"/>
      <c r="Q3" s="123"/>
      <c r="R3" s="107"/>
      <c r="S3" s="107"/>
      <c r="T3" s="119"/>
      <c r="U3" s="105"/>
    </row>
    <row r="4" spans="1:23" ht="15.75">
      <c r="A4" s="202"/>
      <c r="B4" s="332"/>
      <c r="C4" s="333"/>
      <c r="D4" s="334"/>
      <c r="E4" s="334"/>
      <c r="F4" s="334"/>
      <c r="G4" s="334"/>
      <c r="H4" s="334"/>
      <c r="I4" s="334"/>
      <c r="J4" s="334"/>
      <c r="K4" s="334"/>
      <c r="L4" s="334"/>
      <c r="M4" s="334"/>
      <c r="N4" s="334"/>
      <c r="O4" s="334"/>
      <c r="P4" s="334"/>
      <c r="Q4" s="334"/>
      <c r="R4" s="334"/>
      <c r="S4" s="334"/>
      <c r="T4" s="334"/>
      <c r="U4" s="335"/>
      <c r="V4" s="247" t="e">
        <f>VLOOKUP(E4,Лист4!A$2:G$395,7)</f>
        <v>#N/A</v>
      </c>
      <c r="W4" s="247" t="e">
        <f>IF(ISNA(V4),VLOOKUP(E4,категория!A$42:C$74,3,),6.94+R4*8.333/VLOOKUP(V4,категория!A$42:C$74,2,))</f>
        <v>#N/A</v>
      </c>
    </row>
    <row r="5" spans="1:23" ht="15.75">
      <c r="A5" s="288">
        <v>43833.333333333336</v>
      </c>
      <c r="B5" s="332" t="s">
        <v>396</v>
      </c>
      <c r="C5" s="333"/>
      <c r="D5" s="334"/>
      <c r="E5" s="334"/>
      <c r="F5" s="334"/>
      <c r="G5" s="334"/>
      <c r="H5" s="334"/>
      <c r="I5" s="334"/>
      <c r="J5" s="334"/>
      <c r="K5" s="334"/>
      <c r="L5" s="334"/>
      <c r="M5" s="334"/>
      <c r="N5" s="334"/>
      <c r="O5" s="334"/>
      <c r="P5" s="334"/>
      <c r="Q5" s="334"/>
      <c r="R5" s="334"/>
      <c r="S5" s="334"/>
      <c r="T5" s="334"/>
      <c r="U5" s="335"/>
      <c r="V5" s="247" t="e">
        <f>VLOOKUP(E5,Лист4!A$2:G$395,7)</f>
        <v>#N/A</v>
      </c>
      <c r="W5" s="247" t="e">
        <f>IF(ISNA(V5),VLOOKUP(E5,категория!A$42:C$74,3,),6.94+R5*8.333/VLOOKUP(V5,категория!A$42:C$74,2,))</f>
        <v>#N/A</v>
      </c>
    </row>
    <row r="6" spans="1:23" ht="15.75">
      <c r="A6" s="277">
        <v>43833.333333333336</v>
      </c>
      <c r="B6" s="277">
        <v>43833.416666666664</v>
      </c>
      <c r="C6" s="277">
        <f t="shared" ref="C6:C11" si="0">B6-A6</f>
        <v>8.3333333328482695E-2</v>
      </c>
      <c r="D6" s="278">
        <v>8.3333333333333329E-2</v>
      </c>
      <c r="E6" s="329" t="s">
        <v>12</v>
      </c>
      <c r="F6" s="330"/>
      <c r="G6" s="330"/>
      <c r="H6" s="330"/>
      <c r="I6" s="330"/>
      <c r="J6" s="330"/>
      <c r="K6" s="330"/>
      <c r="L6" s="330"/>
      <c r="M6" s="330"/>
      <c r="N6" s="330"/>
      <c r="O6" s="330"/>
      <c r="P6" s="330"/>
      <c r="Q6" s="330"/>
      <c r="R6" s="330"/>
      <c r="S6" s="330"/>
      <c r="T6" s="330"/>
      <c r="U6" s="331"/>
      <c r="V6" s="247" t="e">
        <f>VLOOKUP(E6,Лист4!A$2:G$395,7,FALSE)</f>
        <v>#N/A</v>
      </c>
      <c r="W6" s="247">
        <f>IF(ISNA(V6),VLOOKUP(E6,категория!A$42:C$74,3,),6.94+R6*8.333/VLOOKUP(V6,категория!A$42:C$74,2,))</f>
        <v>16.670000000000002</v>
      </c>
    </row>
    <row r="7" spans="1:23" ht="15.75">
      <c r="A7" s="277">
        <v>43833.416666666664</v>
      </c>
      <c r="B7" s="277">
        <v>43833.5</v>
      </c>
      <c r="C7" s="277">
        <f t="shared" si="0"/>
        <v>8.3333333335758653E-2</v>
      </c>
      <c r="D7" s="278">
        <v>4.1666666666666664E-2</v>
      </c>
      <c r="E7" s="329" t="s">
        <v>397</v>
      </c>
      <c r="F7" s="330"/>
      <c r="G7" s="330"/>
      <c r="H7" s="330"/>
      <c r="I7" s="330"/>
      <c r="J7" s="330"/>
      <c r="K7" s="330"/>
      <c r="L7" s="330"/>
      <c r="M7" s="330"/>
      <c r="N7" s="330"/>
      <c r="O7" s="330"/>
      <c r="P7" s="330"/>
      <c r="Q7" s="330"/>
      <c r="R7" s="330"/>
      <c r="S7" s="330"/>
      <c r="T7" s="330"/>
      <c r="U7" s="331"/>
      <c r="V7" s="247" t="e">
        <f>VLOOKUP(E7,Лист4!A$2:G$395,7,FALSE)</f>
        <v>#N/A</v>
      </c>
      <c r="W7" s="247">
        <f>2*8.333</f>
        <v>16.666</v>
      </c>
    </row>
    <row r="8" spans="1:23" ht="15.75">
      <c r="A8" s="277">
        <v>43833.5</v>
      </c>
      <c r="B8" s="277">
        <v>43833.520833333336</v>
      </c>
      <c r="C8" s="277">
        <f t="shared" si="0"/>
        <v>2.0833333335758653E-2</v>
      </c>
      <c r="D8" s="278">
        <v>2.0833333333333332E-2</v>
      </c>
      <c r="E8" s="329" t="s">
        <v>23</v>
      </c>
      <c r="F8" s="330"/>
      <c r="G8" s="330"/>
      <c r="H8" s="330"/>
      <c r="I8" s="330"/>
      <c r="J8" s="330"/>
      <c r="K8" s="330"/>
      <c r="L8" s="330"/>
      <c r="M8" s="330"/>
      <c r="N8" s="330"/>
      <c r="O8" s="330"/>
      <c r="P8" s="330"/>
      <c r="Q8" s="330"/>
      <c r="R8" s="330"/>
      <c r="S8" s="330"/>
      <c r="T8" s="330"/>
      <c r="U8" s="331"/>
      <c r="V8" s="247" t="e">
        <f>VLOOKUP(E8,Лист4!A$2:G$395,7,FALSE)</f>
        <v>#N/A</v>
      </c>
      <c r="W8" s="247">
        <f>IF(ISNA(V8),VLOOKUP(E8,категория!A$42:C$74,3,),6.94+R8*8.333/VLOOKUP(V8,категория!A$42:C$74,2,))</f>
        <v>2.78</v>
      </c>
    </row>
    <row r="9" spans="1:23" ht="36">
      <c r="A9" s="277">
        <v>43833.520833333336</v>
      </c>
      <c r="B9" s="277">
        <v>43833.538194444445</v>
      </c>
      <c r="C9" s="277">
        <f t="shared" si="0"/>
        <v>1.7361111109494232E-2</v>
      </c>
      <c r="D9" s="278">
        <v>1.7361111111111112E-2</v>
      </c>
      <c r="E9" s="279">
        <v>1</v>
      </c>
      <c r="F9" s="280" t="s">
        <v>320</v>
      </c>
      <c r="G9" s="280" t="s">
        <v>398</v>
      </c>
      <c r="H9" s="281" t="s">
        <v>226</v>
      </c>
      <c r="I9" s="282">
        <v>43838</v>
      </c>
      <c r="J9" s="283"/>
      <c r="K9" s="279" t="s">
        <v>227</v>
      </c>
      <c r="L9" s="284"/>
      <c r="M9" s="285"/>
      <c r="N9" s="280" t="s">
        <v>35</v>
      </c>
      <c r="O9" s="279">
        <v>250</v>
      </c>
      <c r="P9" s="279" t="s">
        <v>280</v>
      </c>
      <c r="Q9" s="286" t="s">
        <v>229</v>
      </c>
      <c r="R9" s="287">
        <v>140</v>
      </c>
      <c r="S9" s="287">
        <v>277</v>
      </c>
      <c r="T9" s="283" t="s">
        <v>232</v>
      </c>
      <c r="U9" s="287" t="s">
        <v>76</v>
      </c>
      <c r="V9" s="247" t="str">
        <f>VLOOKUP(E9,Лист4!A$2:G$395,7,FALSE)</f>
        <v>картон до 250</v>
      </c>
      <c r="W9" s="247">
        <f>IF(ISNA(V9),VLOOKUP(E9,категория!A$42:C$74,3,),6.94+R9*8.333/VLOOKUP(V9,категория!A$42:C$74,2,))</f>
        <v>7.2935212121212123</v>
      </c>
    </row>
    <row r="10" spans="1:23" ht="15.75">
      <c r="A10" s="277">
        <v>43833.538194444445</v>
      </c>
      <c r="B10" s="277">
        <v>43833.541666666664</v>
      </c>
      <c r="C10" s="277">
        <f t="shared" si="0"/>
        <v>3.4722222189884633E-3</v>
      </c>
      <c r="D10" s="278">
        <v>1.0416666666666666E-2</v>
      </c>
      <c r="E10" s="329" t="s">
        <v>170</v>
      </c>
      <c r="F10" s="330"/>
      <c r="G10" s="330"/>
      <c r="H10" s="330"/>
      <c r="I10" s="330"/>
      <c r="J10" s="330"/>
      <c r="K10" s="330"/>
      <c r="L10" s="330"/>
      <c r="M10" s="330"/>
      <c r="N10" s="330"/>
      <c r="O10" s="330"/>
      <c r="P10" s="330"/>
      <c r="Q10" s="330"/>
      <c r="R10" s="330"/>
      <c r="S10" s="330"/>
      <c r="T10" s="330"/>
      <c r="U10" s="331"/>
      <c r="V10" s="247" t="e">
        <f>VLOOKUP(E10,Лист4!A$2:G$395,7,FALSE)</f>
        <v>#N/A</v>
      </c>
      <c r="W10" s="247">
        <f>IF(ISNA(V10),VLOOKUP(E10,категория!A$42:C$74,3,),6.94+R10*8.333/VLOOKUP(V10,категория!A$42:C$74,2,))</f>
        <v>2.085</v>
      </c>
    </row>
    <row r="11" spans="1:23" ht="15.75">
      <c r="A11" s="277">
        <v>43833.541666666664</v>
      </c>
      <c r="B11" s="277">
        <v>43833.833333333336</v>
      </c>
      <c r="C11" s="277">
        <f t="shared" si="0"/>
        <v>0.29166666667151731</v>
      </c>
      <c r="D11" s="278">
        <v>0.25694444444444448</v>
      </c>
      <c r="E11" s="329" t="s">
        <v>10</v>
      </c>
      <c r="F11" s="330"/>
      <c r="G11" s="330"/>
      <c r="H11" s="330"/>
      <c r="I11" s="330"/>
      <c r="J11" s="330"/>
      <c r="K11" s="330"/>
      <c r="L11" s="330"/>
      <c r="M11" s="330"/>
      <c r="N11" s="330"/>
      <c r="O11" s="330"/>
      <c r="P11" s="330"/>
      <c r="Q11" s="330"/>
      <c r="R11" s="330"/>
      <c r="S11" s="330"/>
      <c r="T11" s="330"/>
      <c r="U11" s="331"/>
      <c r="V11" s="247" t="e">
        <f>VLOOKUP(E11,Лист4!A$2:G$395,7,FALSE)</f>
        <v>#N/A</v>
      </c>
      <c r="W11" s="247">
        <f>IF(ISNA(V11),VLOOKUP(E11,категория!A$42:C$74,3,),6.94+R11*8.333/VLOOKUP(V11,категория!A$42:C$74,2,))*7</f>
        <v>58.333099999999995</v>
      </c>
    </row>
    <row r="12" spans="1:23" ht="15.75">
      <c r="A12" s="288">
        <v>43833.833333333336</v>
      </c>
      <c r="B12" s="332" t="s">
        <v>399</v>
      </c>
      <c r="C12" s="333"/>
      <c r="D12" s="334"/>
      <c r="E12" s="334"/>
      <c r="F12" s="334"/>
      <c r="G12" s="334"/>
      <c r="H12" s="334"/>
      <c r="I12" s="334"/>
      <c r="J12" s="334"/>
      <c r="K12" s="334"/>
      <c r="L12" s="334"/>
      <c r="M12" s="334"/>
      <c r="N12" s="334"/>
      <c r="O12" s="334"/>
      <c r="P12" s="334"/>
      <c r="Q12" s="334"/>
      <c r="R12" s="334"/>
      <c r="S12" s="334"/>
      <c r="T12" s="334"/>
      <c r="U12" s="335"/>
      <c r="V12" s="247" t="e">
        <f>VLOOKUP(E12,Лист4!A$2:G$395,7,FALSE)</f>
        <v>#N/A</v>
      </c>
      <c r="W12" s="187">
        <f>SUM(W6:W11)</f>
        <v>103.82762121212122</v>
      </c>
    </row>
    <row r="13" spans="1:23" ht="15.75">
      <c r="A13" s="277">
        <v>43833.833333333336</v>
      </c>
      <c r="B13" s="277">
        <v>43833.854166666664</v>
      </c>
      <c r="C13" s="277">
        <f>B13-A13</f>
        <v>2.0833333328482695E-2</v>
      </c>
      <c r="D13" s="278">
        <v>2.0833333333333332E-2</v>
      </c>
      <c r="E13" s="329" t="s">
        <v>22</v>
      </c>
      <c r="F13" s="330"/>
      <c r="G13" s="330"/>
      <c r="H13" s="330"/>
      <c r="I13" s="330"/>
      <c r="J13" s="330"/>
      <c r="K13" s="330"/>
      <c r="L13" s="330"/>
      <c r="M13" s="330"/>
      <c r="N13" s="330"/>
      <c r="O13" s="330"/>
      <c r="P13" s="330"/>
      <c r="Q13" s="330"/>
      <c r="R13" s="330"/>
      <c r="S13" s="330"/>
      <c r="T13" s="330"/>
      <c r="U13" s="331"/>
      <c r="V13" s="247" t="e">
        <f>VLOOKUP(E13,Лист4!A$2:G$395,7,FALSE)</f>
        <v>#N/A</v>
      </c>
      <c r="W13" s="247">
        <f>IF(ISNA(V13),VLOOKUP(E13,категория!A$42:C$74,3,),6.94+R13*8.333/VLOOKUP(V13,категория!A$42:C$74,2,))</f>
        <v>4.17</v>
      </c>
    </row>
    <row r="14" spans="1:23" ht="15.75">
      <c r="A14" s="277">
        <v>43833.854166666664</v>
      </c>
      <c r="B14" s="277">
        <v>43833.90625</v>
      </c>
      <c r="C14" s="277">
        <f t="shared" ref="C14:C27" si="1">B14-A14</f>
        <v>5.2083333335758653E-2</v>
      </c>
      <c r="D14" s="278">
        <v>3.472222222222222E-3</v>
      </c>
      <c r="E14" s="329" t="s">
        <v>327</v>
      </c>
      <c r="F14" s="330"/>
      <c r="G14" s="330"/>
      <c r="H14" s="330"/>
      <c r="I14" s="330"/>
      <c r="J14" s="330"/>
      <c r="K14" s="330"/>
      <c r="L14" s="330"/>
      <c r="M14" s="330"/>
      <c r="N14" s="330"/>
      <c r="O14" s="330"/>
      <c r="P14" s="330"/>
      <c r="Q14" s="330"/>
      <c r="R14" s="330"/>
      <c r="S14" s="330"/>
      <c r="T14" s="330"/>
      <c r="U14" s="331"/>
      <c r="V14" s="247" t="e">
        <f>VLOOKUP(E14,Лист4!A$2:G$395,7,FALSE)</f>
        <v>#N/A</v>
      </c>
      <c r="W14" s="247">
        <f>1.25*8.333</f>
        <v>10.41625</v>
      </c>
    </row>
    <row r="15" spans="1:23" ht="48">
      <c r="A15" s="277">
        <v>43833.90625</v>
      </c>
      <c r="B15" s="277">
        <v>43833.958333333336</v>
      </c>
      <c r="C15" s="277">
        <f t="shared" si="1"/>
        <v>5.2083333335758653E-2</v>
      </c>
      <c r="D15" s="278">
        <v>5.2083333333333336E-2</v>
      </c>
      <c r="E15" s="279">
        <v>3520</v>
      </c>
      <c r="F15" s="280" t="s">
        <v>249</v>
      </c>
      <c r="G15" s="280" t="s">
        <v>400</v>
      </c>
      <c r="H15" s="281" t="s">
        <v>252</v>
      </c>
      <c r="I15" s="282">
        <v>43838</v>
      </c>
      <c r="J15" s="283"/>
      <c r="K15" s="279" t="s">
        <v>227</v>
      </c>
      <c r="L15" s="284"/>
      <c r="M15" s="285"/>
      <c r="N15" s="280" t="s">
        <v>41</v>
      </c>
      <c r="O15" s="279">
        <v>300</v>
      </c>
      <c r="P15" s="279" t="s">
        <v>228</v>
      </c>
      <c r="Q15" s="286" t="s">
        <v>229</v>
      </c>
      <c r="R15" s="287">
        <v>761</v>
      </c>
      <c r="S15" s="287">
        <v>1086</v>
      </c>
      <c r="T15" s="283"/>
      <c r="U15" s="287" t="s">
        <v>77</v>
      </c>
      <c r="V15" s="247" t="str">
        <f>VLOOKUP(E15,Лист4!A$2:G$395,7,FALSE)</f>
        <v>мел+офсет</v>
      </c>
      <c r="W15" s="247">
        <f>IF(ISNA(V15),VLOOKUP(E15,категория!A$42:C$74,3,),6.94+R15*8.333/VLOOKUP(V15,категория!A$42:C$74,2,))</f>
        <v>8.2082826000000004</v>
      </c>
    </row>
    <row r="16" spans="1:23" ht="15.75">
      <c r="A16" s="277">
        <v>43833.958333333336</v>
      </c>
      <c r="B16" s="277">
        <v>43833.965277777781</v>
      </c>
      <c r="C16" s="277">
        <f t="shared" si="1"/>
        <v>6.9444444452528842E-3</v>
      </c>
      <c r="D16" s="278">
        <v>1.0416666666666666E-2</v>
      </c>
      <c r="E16" s="329" t="s">
        <v>170</v>
      </c>
      <c r="F16" s="330"/>
      <c r="G16" s="330"/>
      <c r="H16" s="330"/>
      <c r="I16" s="330"/>
      <c r="J16" s="330"/>
      <c r="K16" s="330"/>
      <c r="L16" s="330"/>
      <c r="M16" s="330"/>
      <c r="N16" s="330"/>
      <c r="O16" s="330"/>
      <c r="P16" s="330"/>
      <c r="Q16" s="330"/>
      <c r="R16" s="330"/>
      <c r="S16" s="330"/>
      <c r="T16" s="330"/>
      <c r="U16" s="331"/>
      <c r="V16" s="247" t="e">
        <f>VLOOKUP(E16,Лист4!A$2:G$395,7,FALSE)</f>
        <v>#N/A</v>
      </c>
      <c r="W16" s="247">
        <f>IF(ISNA(V16),VLOOKUP(E16,категория!A$42:C$74,3,),6.94+R16*8.333/VLOOKUP(V16,категория!A$42:C$74,2,))</f>
        <v>2.085</v>
      </c>
    </row>
    <row r="17" spans="1:23" ht="15.75">
      <c r="A17" s="277">
        <v>43833.965277777781</v>
      </c>
      <c r="B17" s="277">
        <v>43833.993055555555</v>
      </c>
      <c r="C17" s="277">
        <f t="shared" si="1"/>
        <v>2.7777777773735579E-2</v>
      </c>
      <c r="D17" s="278">
        <v>3.472222222222222E-3</v>
      </c>
      <c r="E17" s="329" t="s">
        <v>237</v>
      </c>
      <c r="F17" s="330"/>
      <c r="G17" s="330"/>
      <c r="H17" s="330"/>
      <c r="I17" s="330"/>
      <c r="J17" s="330"/>
      <c r="K17" s="330"/>
      <c r="L17" s="330"/>
      <c r="M17" s="330"/>
      <c r="N17" s="330"/>
      <c r="O17" s="330"/>
      <c r="P17" s="330"/>
      <c r="Q17" s="330"/>
      <c r="R17" s="330"/>
      <c r="S17" s="330"/>
      <c r="T17" s="330"/>
      <c r="U17" s="331"/>
      <c r="V17" s="247" t="e">
        <f>VLOOKUP(E17,Лист4!A$2:G$395,7,FALSE)</f>
        <v>#N/A</v>
      </c>
      <c r="W17" s="247">
        <f>IF(ISNA(V17),VLOOKUP(E17,категория!A$42:C$74,3,),6.94+R17*8.333/VLOOKUP(V17,категория!A$42:C$74,2,))</f>
        <v>5.5553333333333335</v>
      </c>
    </row>
    <row r="18" spans="1:23" ht="48">
      <c r="A18" s="277">
        <v>43833.993055555555</v>
      </c>
      <c r="B18" s="277">
        <v>43834.041666666664</v>
      </c>
      <c r="C18" s="277">
        <f t="shared" si="1"/>
        <v>4.8611111109494232E-2</v>
      </c>
      <c r="D18" s="278">
        <v>4.8611111111111112E-2</v>
      </c>
      <c r="E18" s="279">
        <v>3520</v>
      </c>
      <c r="F18" s="280" t="s">
        <v>249</v>
      </c>
      <c r="G18" s="280" t="s">
        <v>400</v>
      </c>
      <c r="H18" s="281" t="s">
        <v>251</v>
      </c>
      <c r="I18" s="282">
        <v>43838</v>
      </c>
      <c r="J18" s="283"/>
      <c r="K18" s="279" t="s">
        <v>240</v>
      </c>
      <c r="L18" s="284"/>
      <c r="M18" s="285"/>
      <c r="N18" s="280" t="s">
        <v>41</v>
      </c>
      <c r="O18" s="279">
        <v>300</v>
      </c>
      <c r="P18" s="279" t="s">
        <v>228</v>
      </c>
      <c r="Q18" s="286" t="s">
        <v>229</v>
      </c>
      <c r="R18" s="287">
        <v>820</v>
      </c>
      <c r="S18" s="287">
        <v>1086</v>
      </c>
      <c r="T18" s="283"/>
      <c r="U18" s="287" t="s">
        <v>77</v>
      </c>
      <c r="V18" s="247" t="str">
        <f>VLOOKUP(E18,Лист4!A$2:G$395,7,FALSE)</f>
        <v>мел+офсет</v>
      </c>
      <c r="W18" s="247">
        <f>IF(ISNA(V18),VLOOKUP(E18,категория!A$42:C$74,3,),6.94+R18*8.333/VLOOKUP(V18,категория!A$42:C$74,2,))</f>
        <v>8.3066120000000012</v>
      </c>
    </row>
    <row r="19" spans="1:23" ht="15.75">
      <c r="A19" s="277">
        <v>43834.041666666664</v>
      </c>
      <c r="B19" s="277">
        <v>43834.048611111109</v>
      </c>
      <c r="C19" s="277">
        <f t="shared" si="1"/>
        <v>6.9444444452528842E-3</v>
      </c>
      <c r="D19" s="278">
        <v>1.0416666666666666E-2</v>
      </c>
      <c r="E19" s="329" t="s">
        <v>170</v>
      </c>
      <c r="F19" s="330"/>
      <c r="G19" s="330"/>
      <c r="H19" s="330"/>
      <c r="I19" s="330"/>
      <c r="J19" s="330"/>
      <c r="K19" s="330"/>
      <c r="L19" s="330"/>
      <c r="M19" s="330"/>
      <c r="N19" s="330"/>
      <c r="O19" s="330"/>
      <c r="P19" s="330"/>
      <c r="Q19" s="330"/>
      <c r="R19" s="330"/>
      <c r="S19" s="330"/>
      <c r="T19" s="330"/>
      <c r="U19" s="331"/>
      <c r="V19" s="247" t="e">
        <f>VLOOKUP(E19,Лист4!A$2:G$395,7,FALSE)</f>
        <v>#N/A</v>
      </c>
      <c r="W19" s="247">
        <f>IF(ISNA(V19),VLOOKUP(E19,категория!A$42:C$74,3,),6.94+R19*8.333/VLOOKUP(V19,категория!A$42:C$74,2,))</f>
        <v>2.085</v>
      </c>
    </row>
    <row r="20" spans="1:23" ht="15.75">
      <c r="A20" s="277">
        <v>43834.048611111109</v>
      </c>
      <c r="B20" s="277">
        <v>43834.0625</v>
      </c>
      <c r="C20" s="277">
        <f t="shared" si="1"/>
        <v>1.3888888890505768E-2</v>
      </c>
      <c r="D20" s="278">
        <v>2.0833333333333332E-2</v>
      </c>
      <c r="E20" s="329" t="s">
        <v>23</v>
      </c>
      <c r="F20" s="330"/>
      <c r="G20" s="330"/>
      <c r="H20" s="330"/>
      <c r="I20" s="330"/>
      <c r="J20" s="330"/>
      <c r="K20" s="330"/>
      <c r="L20" s="330"/>
      <c r="M20" s="330"/>
      <c r="N20" s="330"/>
      <c r="O20" s="330"/>
      <c r="P20" s="330"/>
      <c r="Q20" s="330"/>
      <c r="R20" s="330"/>
      <c r="S20" s="330"/>
      <c r="T20" s="330"/>
      <c r="U20" s="331"/>
      <c r="V20" s="247" t="e">
        <f>VLOOKUP(E20,Лист4!A$2:G$395,7,FALSE)</f>
        <v>#N/A</v>
      </c>
      <c r="W20" s="247">
        <f>IF(ISNA(V20),VLOOKUP(E20,категория!A$42:C$74,3,),6.94+R20*8.333/VLOOKUP(V20,категория!A$42:C$74,2,))</f>
        <v>2.78</v>
      </c>
    </row>
    <row r="21" spans="1:23" ht="15.75">
      <c r="A21" s="277">
        <v>43834.0625</v>
      </c>
      <c r="B21" s="277">
        <v>43834.118055555555</v>
      </c>
      <c r="C21" s="277">
        <f t="shared" si="1"/>
        <v>5.5555555554747116E-2</v>
      </c>
      <c r="D21" s="278">
        <v>4.1666666666666664E-2</v>
      </c>
      <c r="E21" s="329" t="s">
        <v>28</v>
      </c>
      <c r="F21" s="330"/>
      <c r="G21" s="330"/>
      <c r="H21" s="330"/>
      <c r="I21" s="330"/>
      <c r="J21" s="330"/>
      <c r="K21" s="330"/>
      <c r="L21" s="330"/>
      <c r="M21" s="330"/>
      <c r="N21" s="330"/>
      <c r="O21" s="330"/>
      <c r="P21" s="330"/>
      <c r="Q21" s="330"/>
      <c r="R21" s="330"/>
      <c r="S21" s="330"/>
      <c r="T21" s="330"/>
      <c r="U21" s="331"/>
      <c r="V21" s="247" t="e">
        <f>VLOOKUP(E21,Лист4!A$2:G$395,7,FALSE)</f>
        <v>#N/A</v>
      </c>
      <c r="W21" s="247">
        <f>IF(ISNA(V21),VLOOKUP(E21,категория!A$42:C$74,3,),6.94+R21*8.333/VLOOKUP(V21,категория!A$42:C$74,2,))</f>
        <v>8.3332999999999995</v>
      </c>
    </row>
    <row r="22" spans="1:23" ht="15.75">
      <c r="A22" s="277">
        <v>43834.118055555555</v>
      </c>
      <c r="B22" s="277">
        <v>43834.131944444445</v>
      </c>
      <c r="C22" s="277">
        <f t="shared" si="1"/>
        <v>1.3888888890505768E-2</v>
      </c>
      <c r="D22" s="278">
        <v>3.472222222222222E-3</v>
      </c>
      <c r="E22" s="329" t="s">
        <v>24</v>
      </c>
      <c r="F22" s="330"/>
      <c r="G22" s="330"/>
      <c r="H22" s="330"/>
      <c r="I22" s="330"/>
      <c r="J22" s="330"/>
      <c r="K22" s="330"/>
      <c r="L22" s="330"/>
      <c r="M22" s="330"/>
      <c r="N22" s="330"/>
      <c r="O22" s="330"/>
      <c r="P22" s="330"/>
      <c r="Q22" s="330"/>
      <c r="R22" s="330"/>
      <c r="S22" s="330"/>
      <c r="T22" s="330"/>
      <c r="U22" s="331"/>
      <c r="V22" s="247" t="e">
        <f>VLOOKUP(E22,Лист4!A$2:G$395,7,FALSE)</f>
        <v>#N/A</v>
      </c>
      <c r="W22" s="247">
        <f>IF(ISNA(V22),VLOOKUP(E22,категория!A$42:C$74,3,),6.94+R22*8.333/VLOOKUP(V22,категория!A$42:C$74,2,))</f>
        <v>3.47</v>
      </c>
    </row>
    <row r="23" spans="1:23" ht="48">
      <c r="A23" s="277">
        <v>43834.131944444445</v>
      </c>
      <c r="B23" s="277">
        <v>43834.173611111109</v>
      </c>
      <c r="C23" s="277">
        <f t="shared" si="1"/>
        <v>4.1666666664241347E-2</v>
      </c>
      <c r="D23" s="278">
        <v>4.1666666666666664E-2</v>
      </c>
      <c r="E23" s="279">
        <v>3535</v>
      </c>
      <c r="F23" s="280" t="s">
        <v>277</v>
      </c>
      <c r="G23" s="280" t="s">
        <v>401</v>
      </c>
      <c r="H23" s="281" t="s">
        <v>268</v>
      </c>
      <c r="I23" s="282">
        <v>43826</v>
      </c>
      <c r="J23" s="283"/>
      <c r="K23" s="279" t="s">
        <v>235</v>
      </c>
      <c r="L23" s="284"/>
      <c r="M23" s="285"/>
      <c r="N23" s="280" t="s">
        <v>41</v>
      </c>
      <c r="O23" s="279">
        <v>350</v>
      </c>
      <c r="P23" s="279" t="s">
        <v>236</v>
      </c>
      <c r="Q23" s="286" t="s">
        <v>229</v>
      </c>
      <c r="R23" s="287">
        <v>151</v>
      </c>
      <c r="S23" s="287">
        <v>456</v>
      </c>
      <c r="T23" s="283" t="s">
        <v>232</v>
      </c>
      <c r="U23" s="287" t="s">
        <v>77</v>
      </c>
      <c r="V23" s="247" t="str">
        <f>VLOOKUP(E23,Лист4!A$2:G$395,7,FALSE)</f>
        <v>мел+офсет</v>
      </c>
      <c r="W23" s="247">
        <f>IF(ISNA(V23),VLOOKUP(E23,категория!A$42:C$74,3,),6.94+R23*8.333/VLOOKUP(V23,категория!A$42:C$74,2,)+5.55+R23*8.333/VLOOKUP(V23,категория!A$42:C$74,2,))</f>
        <v>12.993313199999999</v>
      </c>
    </row>
    <row r="24" spans="1:23" ht="15.75">
      <c r="A24" s="277">
        <v>43834.173611111109</v>
      </c>
      <c r="B24" s="277">
        <v>43834.180555555555</v>
      </c>
      <c r="C24" s="277">
        <f t="shared" si="1"/>
        <v>6.9444444452528842E-3</v>
      </c>
      <c r="D24" s="278">
        <v>6.9444444444444441E-3</v>
      </c>
      <c r="E24" s="329" t="s">
        <v>170</v>
      </c>
      <c r="F24" s="330"/>
      <c r="G24" s="330"/>
      <c r="H24" s="330"/>
      <c r="I24" s="330"/>
      <c r="J24" s="330"/>
      <c r="K24" s="330"/>
      <c r="L24" s="330"/>
      <c r="M24" s="330"/>
      <c r="N24" s="330"/>
      <c r="O24" s="330"/>
      <c r="P24" s="330"/>
      <c r="Q24" s="330"/>
      <c r="R24" s="330"/>
      <c r="S24" s="330"/>
      <c r="T24" s="330"/>
      <c r="U24" s="331"/>
      <c r="V24" s="247" t="e">
        <f>VLOOKUP(E24,Лист4!A$2:G$395,7,FALSE)</f>
        <v>#N/A</v>
      </c>
      <c r="W24" s="247">
        <f>IF(ISNA(V24),VLOOKUP(E24,категория!A$42:C$74,3,),6.94+R24*8.333/VLOOKUP(V24,категория!A$42:C$74,2,))</f>
        <v>2.085</v>
      </c>
    </row>
    <row r="25" spans="1:23" ht="15.75">
      <c r="A25" s="277">
        <v>43834.180555555555</v>
      </c>
      <c r="B25" s="277">
        <v>43834.225694444445</v>
      </c>
      <c r="C25" s="277">
        <f t="shared" si="1"/>
        <v>4.5138888890505768E-2</v>
      </c>
      <c r="D25" s="278">
        <v>3.472222222222222E-3</v>
      </c>
      <c r="E25" s="329" t="s">
        <v>237</v>
      </c>
      <c r="F25" s="330"/>
      <c r="G25" s="330"/>
      <c r="H25" s="330"/>
      <c r="I25" s="330"/>
      <c r="J25" s="330"/>
      <c r="K25" s="330"/>
      <c r="L25" s="330"/>
      <c r="M25" s="330"/>
      <c r="N25" s="330"/>
      <c r="O25" s="330"/>
      <c r="P25" s="330"/>
      <c r="Q25" s="330"/>
      <c r="R25" s="330"/>
      <c r="S25" s="330"/>
      <c r="T25" s="330"/>
      <c r="U25" s="331"/>
      <c r="V25" s="247" t="e">
        <f>VLOOKUP(E25,Лист4!A$2:G$395,7,FALSE)</f>
        <v>#N/A</v>
      </c>
      <c r="W25" s="247">
        <f>IF(ISNA(V25),VLOOKUP(E25,категория!A$42:C$74,3,),6.94+R25*8.333/VLOOKUP(V25,категория!A$42:C$74,2,))</f>
        <v>5.5553333333333335</v>
      </c>
    </row>
    <row r="26" spans="1:23" ht="48">
      <c r="A26" s="277">
        <v>43834.225694444445</v>
      </c>
      <c r="B26" s="277">
        <v>43834.260416666664</v>
      </c>
      <c r="C26" s="277">
        <f t="shared" si="1"/>
        <v>3.4722222218988463E-2</v>
      </c>
      <c r="D26" s="278">
        <v>3.4722222222222224E-2</v>
      </c>
      <c r="E26" s="279">
        <v>3535</v>
      </c>
      <c r="F26" s="280" t="s">
        <v>277</v>
      </c>
      <c r="G26" s="280" t="s">
        <v>401</v>
      </c>
      <c r="H26" s="281" t="s">
        <v>265</v>
      </c>
      <c r="I26" s="282">
        <v>43826</v>
      </c>
      <c r="J26" s="283"/>
      <c r="K26" s="279" t="s">
        <v>238</v>
      </c>
      <c r="L26" s="284"/>
      <c r="M26" s="285"/>
      <c r="N26" s="280" t="s">
        <v>41</v>
      </c>
      <c r="O26" s="279">
        <v>350</v>
      </c>
      <c r="P26" s="279" t="s">
        <v>236</v>
      </c>
      <c r="Q26" s="286" t="s">
        <v>229</v>
      </c>
      <c r="R26" s="287">
        <v>200</v>
      </c>
      <c r="S26" s="287">
        <v>456</v>
      </c>
      <c r="T26" s="283" t="s">
        <v>232</v>
      </c>
      <c r="U26" s="287" t="s">
        <v>77</v>
      </c>
      <c r="V26" s="247" t="str">
        <f>VLOOKUP(E26,Лист4!A$2:G$395,7,FALSE)</f>
        <v>мел+офсет</v>
      </c>
      <c r="W26" s="247">
        <f>IF(ISNA(V26),VLOOKUP(E26,категория!A$42:C$74,3,),6.94+R26*8.333/VLOOKUP(V26,категория!A$42:C$74,2,)+5.55+R26*8.333/VLOOKUP(V26,категория!A$42:C$74,2,))</f>
        <v>13.156639999999999</v>
      </c>
    </row>
    <row r="27" spans="1:23" ht="15.75">
      <c r="A27" s="277">
        <v>43834.260416666664</v>
      </c>
      <c r="B27" s="277">
        <v>43834.333333333336</v>
      </c>
      <c r="C27" s="277">
        <f t="shared" si="1"/>
        <v>7.2916666671517305E-2</v>
      </c>
      <c r="D27" s="278">
        <v>4.1666666666666664E-2</v>
      </c>
      <c r="E27" s="329" t="s">
        <v>283</v>
      </c>
      <c r="F27" s="330"/>
      <c r="G27" s="330"/>
      <c r="H27" s="330"/>
      <c r="I27" s="330"/>
      <c r="J27" s="330"/>
      <c r="K27" s="330"/>
      <c r="L27" s="330"/>
      <c r="M27" s="330"/>
      <c r="N27" s="330"/>
      <c r="O27" s="330"/>
      <c r="P27" s="330"/>
      <c r="Q27" s="330"/>
      <c r="R27" s="330"/>
      <c r="S27" s="330"/>
      <c r="T27" s="330"/>
      <c r="U27" s="331"/>
      <c r="V27" s="247" t="e">
        <f>VLOOKUP(E27,Лист4!A$2:G$395,7,FALSE)</f>
        <v>#N/A</v>
      </c>
      <c r="W27" s="247">
        <f>8.333*1.75</f>
        <v>14.582750000000001</v>
      </c>
    </row>
    <row r="28" spans="1:23" ht="15.75">
      <c r="A28" s="288">
        <v>43834.333333333336</v>
      </c>
      <c r="B28" s="332" t="s">
        <v>402</v>
      </c>
      <c r="C28" s="333"/>
      <c r="D28" s="334"/>
      <c r="E28" s="334"/>
      <c r="F28" s="334"/>
      <c r="G28" s="334"/>
      <c r="H28" s="334"/>
      <c r="I28" s="334"/>
      <c r="J28" s="334"/>
      <c r="K28" s="334"/>
      <c r="L28" s="334"/>
      <c r="M28" s="334"/>
      <c r="N28" s="334"/>
      <c r="O28" s="334"/>
      <c r="P28" s="334"/>
      <c r="Q28" s="334"/>
      <c r="R28" s="334"/>
      <c r="S28" s="334"/>
      <c r="T28" s="334"/>
      <c r="U28" s="335"/>
      <c r="V28" s="247" t="e">
        <f>VLOOKUP(E28,Лист4!A$2:G$395,7,FALSE)</f>
        <v>#N/A</v>
      </c>
      <c r="W28" s="187">
        <f>SUM(W13:W27)</f>
        <v>103.78281446666666</v>
      </c>
    </row>
    <row r="29" spans="1:23" ht="15.75">
      <c r="A29" s="277">
        <v>43834.333333333336</v>
      </c>
      <c r="B29" s="277">
        <v>43834.334027777775</v>
      </c>
      <c r="C29" s="277">
        <f>B29-A29</f>
        <v>6.9444443943211809E-4</v>
      </c>
      <c r="D29" s="278">
        <v>6.9444444444444447E-4</v>
      </c>
      <c r="E29" s="329" t="s">
        <v>403</v>
      </c>
      <c r="F29" s="330"/>
      <c r="G29" s="330"/>
      <c r="H29" s="330"/>
      <c r="I29" s="330"/>
      <c r="J29" s="330"/>
      <c r="K29" s="330"/>
      <c r="L29" s="330"/>
      <c r="M29" s="330"/>
      <c r="N29" s="330"/>
      <c r="O29" s="330"/>
      <c r="P29" s="330"/>
      <c r="Q29" s="330"/>
      <c r="R29" s="330"/>
      <c r="S29" s="330"/>
      <c r="T29" s="330"/>
      <c r="U29" s="331"/>
      <c r="V29" s="247" t="e">
        <f>VLOOKUP(E29,Лист4!A$2:G$395,7,FALSE)</f>
        <v>#N/A</v>
      </c>
      <c r="W29" s="247">
        <v>0</v>
      </c>
    </row>
    <row r="30" spans="1:23" ht="15.75">
      <c r="A30" s="277">
        <v>43834.334027777775</v>
      </c>
      <c r="B30" s="277">
        <v>43834.444444444445</v>
      </c>
      <c r="C30" s="277">
        <f t="shared" ref="C30:C49" si="2">B30-A30</f>
        <v>0.11041666667006211</v>
      </c>
      <c r="D30" s="278">
        <v>0.11041666666666666</v>
      </c>
      <c r="E30" s="329" t="s">
        <v>28</v>
      </c>
      <c r="F30" s="330"/>
      <c r="G30" s="330"/>
      <c r="H30" s="330"/>
      <c r="I30" s="330"/>
      <c r="J30" s="330"/>
      <c r="K30" s="330"/>
      <c r="L30" s="330"/>
      <c r="M30" s="330"/>
      <c r="N30" s="330"/>
      <c r="O30" s="330"/>
      <c r="P30" s="330"/>
      <c r="Q30" s="330"/>
      <c r="R30" s="330"/>
      <c r="S30" s="330"/>
      <c r="T30" s="330"/>
      <c r="U30" s="331"/>
      <c r="V30" s="247" t="e">
        <f>VLOOKUP(E30,Лист4!A$2:G$395,7,FALSE)</f>
        <v>#N/A</v>
      </c>
      <c r="W30" s="247">
        <f>IF(ISNA(V30),VLOOKUP(E30,категория!A$42:C$74,3,),6.94+R30*8.333/VLOOKUP(V30,категория!A$42:C$74,2,))</f>
        <v>8.3332999999999995</v>
      </c>
    </row>
    <row r="31" spans="1:23" ht="15.75">
      <c r="A31" s="277">
        <v>43834.444444444445</v>
      </c>
      <c r="B31" s="277">
        <v>43834.451388888891</v>
      </c>
      <c r="C31" s="277">
        <f t="shared" si="2"/>
        <v>6.9444444452528842E-3</v>
      </c>
      <c r="D31" s="278">
        <v>3.472222222222222E-3</v>
      </c>
      <c r="E31" s="329" t="s">
        <v>24</v>
      </c>
      <c r="F31" s="330"/>
      <c r="G31" s="330"/>
      <c r="H31" s="330"/>
      <c r="I31" s="330"/>
      <c r="J31" s="330"/>
      <c r="K31" s="330"/>
      <c r="L31" s="330"/>
      <c r="M31" s="330"/>
      <c r="N31" s="330"/>
      <c r="O31" s="330"/>
      <c r="P31" s="330"/>
      <c r="Q31" s="330"/>
      <c r="R31" s="330"/>
      <c r="S31" s="330"/>
      <c r="T31" s="330"/>
      <c r="U31" s="331"/>
      <c r="V31" s="247" t="e">
        <f>VLOOKUP(E31,Лист4!A$2:G$395,7,FALSE)</f>
        <v>#N/A</v>
      </c>
      <c r="W31" s="247">
        <f>IF(ISNA(V31),VLOOKUP(E31,категория!A$42:C$74,3,),6.94+R31*8.333/VLOOKUP(V31,категория!A$42:C$74,2,))</f>
        <v>3.47</v>
      </c>
    </row>
    <row r="32" spans="1:23" ht="84">
      <c r="A32" s="336">
        <v>43834.451388888891</v>
      </c>
      <c r="B32" s="336">
        <v>43834.513888888891</v>
      </c>
      <c r="C32" s="277">
        <f t="shared" si="2"/>
        <v>6.25E-2</v>
      </c>
      <c r="D32" s="338">
        <v>6.25E-2</v>
      </c>
      <c r="E32" s="340">
        <v>3491</v>
      </c>
      <c r="F32" s="280" t="s">
        <v>404</v>
      </c>
      <c r="G32" s="280" t="s">
        <v>405</v>
      </c>
      <c r="H32" s="281" t="s">
        <v>226</v>
      </c>
      <c r="I32" s="282">
        <v>43838</v>
      </c>
      <c r="J32" s="283"/>
      <c r="K32" s="279" t="s">
        <v>227</v>
      </c>
      <c r="L32" s="284"/>
      <c r="M32" s="285"/>
      <c r="N32" s="280" t="s">
        <v>40</v>
      </c>
      <c r="O32" s="279">
        <v>270</v>
      </c>
      <c r="P32" s="279" t="s">
        <v>228</v>
      </c>
      <c r="Q32" s="286" t="s">
        <v>229</v>
      </c>
      <c r="R32" s="287">
        <v>2650</v>
      </c>
      <c r="S32" s="287">
        <v>2882</v>
      </c>
      <c r="T32" s="283" t="s">
        <v>232</v>
      </c>
      <c r="U32" s="287" t="s">
        <v>230</v>
      </c>
      <c r="V32" s="247" t="str">
        <f>VLOOKUP(E32,Лист4!A$2:G$395,7,FALSE)</f>
        <v>картон от 270</v>
      </c>
      <c r="W32" s="247">
        <f>IF(ISNA(V32),VLOOKUP(E32,категория!A$42:C$74,3,),6.94+R32*8.333/VLOOKUP(V32,категория!A$42:C$74,2,))*1.2</f>
        <v>17.46556551724138</v>
      </c>
    </row>
    <row r="33" spans="1:23" ht="32.25" customHeight="1">
      <c r="A33" s="337"/>
      <c r="B33" s="337"/>
      <c r="C33" s="277">
        <f t="shared" si="2"/>
        <v>0</v>
      </c>
      <c r="D33" s="339"/>
      <c r="E33" s="341"/>
      <c r="F33" s="342" t="s">
        <v>338</v>
      </c>
      <c r="G33" s="343"/>
      <c r="H33" s="343"/>
      <c r="I33" s="343"/>
      <c r="J33" s="343"/>
      <c r="K33" s="343"/>
      <c r="L33" s="343"/>
      <c r="M33" s="343"/>
      <c r="N33" s="343"/>
      <c r="O33" s="343"/>
      <c r="P33" s="343"/>
      <c r="Q33" s="343"/>
      <c r="R33" s="343"/>
      <c r="S33" s="343"/>
      <c r="T33" s="343"/>
      <c r="U33" s="344"/>
      <c r="V33" s="247" t="e">
        <f>VLOOKUP(E33,Лист4!A$2:G$395,7,FALSE)</f>
        <v>#N/A</v>
      </c>
      <c r="W33" s="247">
        <v>0</v>
      </c>
    </row>
    <row r="34" spans="1:23" ht="15" hidden="1" customHeight="1">
      <c r="A34" s="277">
        <v>43834.513888888891</v>
      </c>
      <c r="B34" s="277">
        <v>43834.524305555555</v>
      </c>
      <c r="C34" s="277">
        <f t="shared" si="2"/>
        <v>1.0416666664241347E-2</v>
      </c>
      <c r="D34" s="278">
        <v>1.0416666666666666E-2</v>
      </c>
      <c r="E34" s="329" t="s">
        <v>170</v>
      </c>
      <c r="F34" s="330"/>
      <c r="G34" s="330"/>
      <c r="H34" s="330"/>
      <c r="I34" s="330"/>
      <c r="J34" s="330"/>
      <c r="K34" s="330"/>
      <c r="L34" s="330"/>
      <c r="M34" s="330"/>
      <c r="N34" s="330"/>
      <c r="O34" s="330"/>
      <c r="P34" s="330"/>
      <c r="Q34" s="330"/>
      <c r="R34" s="330"/>
      <c r="S34" s="330"/>
      <c r="T34" s="330"/>
      <c r="U34" s="331"/>
      <c r="V34" s="247" t="e">
        <f>VLOOKUP(E34,Лист4!A$2:G$395,7,FALSE)</f>
        <v>#N/A</v>
      </c>
      <c r="W34" s="247">
        <f>IF(ISNA(V34),VLOOKUP(E34,категория!A$42:C$74,3,),6.94+R34*8.333/VLOOKUP(V34,категория!A$42:C$74,2,))</f>
        <v>2.085</v>
      </c>
    </row>
    <row r="35" spans="1:23" ht="15.75">
      <c r="A35" s="277">
        <v>43834.524305555555</v>
      </c>
      <c r="B35" s="277">
        <v>43834.545138888891</v>
      </c>
      <c r="C35" s="277">
        <f t="shared" si="2"/>
        <v>2.0833333335758653E-2</v>
      </c>
      <c r="D35" s="278">
        <v>2.0833333333333332E-2</v>
      </c>
      <c r="E35" s="329" t="s">
        <v>23</v>
      </c>
      <c r="F35" s="330"/>
      <c r="G35" s="330"/>
      <c r="H35" s="330"/>
      <c r="I35" s="330"/>
      <c r="J35" s="330"/>
      <c r="K35" s="330"/>
      <c r="L35" s="330"/>
      <c r="M35" s="330"/>
      <c r="N35" s="330"/>
      <c r="O35" s="330"/>
      <c r="P35" s="330"/>
      <c r="Q35" s="330"/>
      <c r="R35" s="330"/>
      <c r="S35" s="330"/>
      <c r="T35" s="330"/>
      <c r="U35" s="331"/>
      <c r="V35" s="247" t="e">
        <f>VLOOKUP(E35,Лист4!A$2:G$395,7,FALSE)</f>
        <v>#N/A</v>
      </c>
      <c r="W35" s="247">
        <f>IF(ISNA(V35),VLOOKUP(E35,категория!A$42:C$74,3,),6.94+R35*8.333/VLOOKUP(V35,категория!A$42:C$74,2,))</f>
        <v>2.78</v>
      </c>
    </row>
    <row r="36" spans="1:23" ht="22.5" customHeight="1">
      <c r="A36" s="277">
        <v>43834.545138888891</v>
      </c>
      <c r="B36" s="277">
        <v>43834.597222222219</v>
      </c>
      <c r="C36" s="277">
        <f t="shared" si="2"/>
        <v>5.2083333328482695E-2</v>
      </c>
      <c r="D36" s="278">
        <v>3.472222222222222E-3</v>
      </c>
      <c r="E36" s="329" t="s">
        <v>327</v>
      </c>
      <c r="F36" s="330"/>
      <c r="G36" s="330"/>
      <c r="H36" s="330"/>
      <c r="I36" s="330"/>
      <c r="J36" s="330"/>
      <c r="K36" s="330"/>
      <c r="L36" s="330"/>
      <c r="M36" s="330"/>
      <c r="N36" s="330"/>
      <c r="O36" s="330"/>
      <c r="P36" s="330"/>
      <c r="Q36" s="330"/>
      <c r="R36" s="330"/>
      <c r="S36" s="330"/>
      <c r="T36" s="330"/>
      <c r="U36" s="331"/>
      <c r="V36" s="247" t="e">
        <f>VLOOKUP(E36,Лист4!A$2:G$395,7,FALSE)</f>
        <v>#N/A</v>
      </c>
      <c r="W36" s="247">
        <f>8.333*1.25</f>
        <v>10.41625</v>
      </c>
    </row>
    <row r="37" spans="1:23" ht="36">
      <c r="A37" s="277">
        <v>43834.597222222219</v>
      </c>
      <c r="B37" s="277">
        <v>43834.631944444445</v>
      </c>
      <c r="C37" s="277">
        <f t="shared" si="2"/>
        <v>3.4722222226264421E-2</v>
      </c>
      <c r="D37" s="278">
        <v>3.4722222222222224E-2</v>
      </c>
      <c r="E37" s="279">
        <v>3322</v>
      </c>
      <c r="F37" s="280" t="s">
        <v>278</v>
      </c>
      <c r="G37" s="280" t="s">
        <v>329</v>
      </c>
      <c r="H37" s="281" t="s">
        <v>304</v>
      </c>
      <c r="I37" s="282">
        <v>43826</v>
      </c>
      <c r="J37" s="283"/>
      <c r="K37" s="279" t="s">
        <v>227</v>
      </c>
      <c r="L37" s="284"/>
      <c r="M37" s="285"/>
      <c r="N37" s="280" t="s">
        <v>40</v>
      </c>
      <c r="O37" s="279">
        <v>325</v>
      </c>
      <c r="P37" s="279" t="s">
        <v>236</v>
      </c>
      <c r="Q37" s="286" t="s">
        <v>229</v>
      </c>
      <c r="R37" s="287">
        <v>620</v>
      </c>
      <c r="S37" s="287">
        <v>800</v>
      </c>
      <c r="T37" s="283" t="s">
        <v>232</v>
      </c>
      <c r="U37" s="287" t="s">
        <v>230</v>
      </c>
      <c r="V37" s="247" t="s">
        <v>57</v>
      </c>
      <c r="W37" s="247">
        <f>IF(ISNA(V37),VLOOKUP(E37,категория!A$42:C$74,3,),6.94+R37*8.333/VLOOKUP(V37,категория!A$42:C$74,2,))*1.2</f>
        <v>10.465845517241378</v>
      </c>
    </row>
    <row r="38" spans="1:23" ht="25.5" customHeight="1">
      <c r="A38" s="277">
        <v>43834.631944444445</v>
      </c>
      <c r="B38" s="277">
        <v>43834.642361111109</v>
      </c>
      <c r="C38" s="277">
        <f t="shared" si="2"/>
        <v>1.0416666664241347E-2</v>
      </c>
      <c r="D38" s="278">
        <v>1.0416666666666666E-2</v>
      </c>
      <c r="E38" s="329" t="s">
        <v>170</v>
      </c>
      <c r="F38" s="330"/>
      <c r="G38" s="330"/>
      <c r="H38" s="330"/>
      <c r="I38" s="330"/>
      <c r="J38" s="330"/>
      <c r="K38" s="330"/>
      <c r="L38" s="330"/>
      <c r="M38" s="330"/>
      <c r="N38" s="330"/>
      <c r="O38" s="330"/>
      <c r="P38" s="330"/>
      <c r="Q38" s="330"/>
      <c r="R38" s="330"/>
      <c r="S38" s="330"/>
      <c r="T38" s="330"/>
      <c r="U38" s="331"/>
      <c r="V38" s="247" t="e">
        <f>VLOOKUP(E38,Лист4!A$2:G$395,7,FALSE)</f>
        <v>#N/A</v>
      </c>
      <c r="W38" s="247">
        <f>IF(ISNA(V38),VLOOKUP(E38,категория!A$42:C$74,3,),6.94+R38*8.333/VLOOKUP(V38,категория!A$42:C$74,2,))</f>
        <v>2.085</v>
      </c>
    </row>
    <row r="39" spans="1:23" ht="15.75">
      <c r="A39" s="277">
        <v>43834.642361111109</v>
      </c>
      <c r="B39" s="277">
        <v>43834.659722222219</v>
      </c>
      <c r="C39" s="277">
        <f t="shared" si="2"/>
        <v>1.7361111109494232E-2</v>
      </c>
      <c r="D39" s="278">
        <v>3.472222222222222E-3</v>
      </c>
      <c r="E39" s="329" t="s">
        <v>327</v>
      </c>
      <c r="F39" s="330"/>
      <c r="G39" s="330"/>
      <c r="H39" s="330"/>
      <c r="I39" s="330"/>
      <c r="J39" s="330"/>
      <c r="K39" s="330"/>
      <c r="L39" s="330"/>
      <c r="M39" s="330"/>
      <c r="N39" s="330"/>
      <c r="O39" s="330"/>
      <c r="P39" s="330"/>
      <c r="Q39" s="330"/>
      <c r="R39" s="330"/>
      <c r="S39" s="330"/>
      <c r="T39" s="330"/>
      <c r="U39" s="331"/>
      <c r="V39" s="247" t="e">
        <f>VLOOKUP(E39,Лист4!A$2:G$395,7,FALSE)</f>
        <v>#N/A</v>
      </c>
      <c r="W39" s="247">
        <f>8.333*0.45</f>
        <v>3.7498500000000003</v>
      </c>
    </row>
    <row r="40" spans="1:23" ht="24" customHeight="1">
      <c r="A40" s="277">
        <v>43834.659722222219</v>
      </c>
      <c r="B40" s="277">
        <v>43834.694444444445</v>
      </c>
      <c r="C40" s="277">
        <f t="shared" si="2"/>
        <v>3.4722222226264421E-2</v>
      </c>
      <c r="D40" s="278">
        <v>3.4722222222222224E-2</v>
      </c>
      <c r="E40" s="279">
        <v>3323</v>
      </c>
      <c r="F40" s="280" t="s">
        <v>278</v>
      </c>
      <c r="G40" s="280" t="s">
        <v>328</v>
      </c>
      <c r="H40" s="281" t="s">
        <v>304</v>
      </c>
      <c r="I40" s="282">
        <v>43826</v>
      </c>
      <c r="J40" s="283"/>
      <c r="K40" s="279" t="s">
        <v>227</v>
      </c>
      <c r="L40" s="284"/>
      <c r="M40" s="285"/>
      <c r="N40" s="280" t="s">
        <v>40</v>
      </c>
      <c r="O40" s="279">
        <v>325</v>
      </c>
      <c r="P40" s="279" t="s">
        <v>236</v>
      </c>
      <c r="Q40" s="286" t="s">
        <v>229</v>
      </c>
      <c r="R40" s="287">
        <v>700</v>
      </c>
      <c r="S40" s="287">
        <v>900</v>
      </c>
      <c r="T40" s="283" t="s">
        <v>232</v>
      </c>
      <c r="U40" s="287" t="s">
        <v>230</v>
      </c>
      <c r="V40" s="247" t="s">
        <v>57</v>
      </c>
      <c r="W40" s="247">
        <f>IF(ISNA(V40),VLOOKUP(E40,категория!A$42:C$74,3,),6.94+R40*8.333/VLOOKUP(V40,категория!A$42:C$74,2,))*1.2</f>
        <v>10.741696551724138</v>
      </c>
    </row>
    <row r="41" spans="1:23" ht="15.75">
      <c r="A41" s="277">
        <v>43834.694444444445</v>
      </c>
      <c r="B41" s="277">
        <v>43834.704861111109</v>
      </c>
      <c r="C41" s="277">
        <f t="shared" si="2"/>
        <v>1.0416666664241347E-2</v>
      </c>
      <c r="D41" s="278">
        <v>1.0416666666666666E-2</v>
      </c>
      <c r="E41" s="329" t="s">
        <v>170</v>
      </c>
      <c r="F41" s="330"/>
      <c r="G41" s="330"/>
      <c r="H41" s="330"/>
      <c r="I41" s="330"/>
      <c r="J41" s="330"/>
      <c r="K41" s="330"/>
      <c r="L41" s="330"/>
      <c r="M41" s="330"/>
      <c r="N41" s="330"/>
      <c r="O41" s="330"/>
      <c r="P41" s="330"/>
      <c r="Q41" s="330"/>
      <c r="R41" s="330"/>
      <c r="S41" s="330"/>
      <c r="T41" s="330"/>
      <c r="U41" s="331"/>
      <c r="V41" s="247" t="e">
        <f>VLOOKUP(E41,Лист4!A$2:G$395,7,FALSE)</f>
        <v>#N/A</v>
      </c>
      <c r="W41" s="247">
        <f>IF(ISNA(V41),VLOOKUP(E41,категория!A$42:C$74,3,),6.94+R41*8.333/VLOOKUP(V41,категория!A$42:C$74,2,))</f>
        <v>2.085</v>
      </c>
    </row>
    <row r="42" spans="1:23" ht="36" customHeight="1">
      <c r="A42" s="277">
        <v>43834.704861111109</v>
      </c>
      <c r="B42" s="277">
        <v>43834.715277777781</v>
      </c>
      <c r="C42" s="277">
        <f t="shared" si="2"/>
        <v>1.0416666671517305E-2</v>
      </c>
      <c r="D42" s="278">
        <v>3.472222222222222E-3</v>
      </c>
      <c r="E42" s="329" t="s">
        <v>327</v>
      </c>
      <c r="F42" s="330"/>
      <c r="G42" s="330"/>
      <c r="H42" s="330"/>
      <c r="I42" s="330"/>
      <c r="J42" s="330"/>
      <c r="K42" s="330"/>
      <c r="L42" s="330"/>
      <c r="M42" s="330"/>
      <c r="N42" s="330"/>
      <c r="O42" s="330"/>
      <c r="P42" s="330"/>
      <c r="Q42" s="330"/>
      <c r="R42" s="330"/>
      <c r="S42" s="330"/>
      <c r="T42" s="330"/>
      <c r="U42" s="331"/>
      <c r="V42" s="247" t="e">
        <f>VLOOKUP(E42,Лист4!A$2:G$395,7,FALSE)</f>
        <v>#N/A</v>
      </c>
      <c r="W42" s="247">
        <f>8.33*0.25</f>
        <v>2.0825</v>
      </c>
    </row>
    <row r="43" spans="1:23" ht="36">
      <c r="A43" s="277">
        <v>43834.715277777781</v>
      </c>
      <c r="B43" s="277">
        <v>43834.743055555555</v>
      </c>
      <c r="C43" s="277">
        <f t="shared" si="2"/>
        <v>2.7777777773735579E-2</v>
      </c>
      <c r="D43" s="278">
        <v>2.7777777777777776E-2</v>
      </c>
      <c r="E43" s="279">
        <v>3322</v>
      </c>
      <c r="F43" s="280" t="s">
        <v>278</v>
      </c>
      <c r="G43" s="280" t="s">
        <v>329</v>
      </c>
      <c r="H43" s="281" t="s">
        <v>325</v>
      </c>
      <c r="I43" s="282">
        <v>43826</v>
      </c>
      <c r="J43" s="283"/>
      <c r="K43" s="279" t="s">
        <v>227</v>
      </c>
      <c r="L43" s="284"/>
      <c r="M43" s="285"/>
      <c r="N43" s="280" t="s">
        <v>40</v>
      </c>
      <c r="O43" s="279">
        <v>325</v>
      </c>
      <c r="P43" s="279" t="s">
        <v>236</v>
      </c>
      <c r="Q43" s="286" t="s">
        <v>229</v>
      </c>
      <c r="R43" s="287">
        <v>620</v>
      </c>
      <c r="S43" s="287">
        <v>800</v>
      </c>
      <c r="T43" s="283" t="s">
        <v>232</v>
      </c>
      <c r="U43" s="287" t="s">
        <v>230</v>
      </c>
      <c r="V43" s="247" t="s">
        <v>57</v>
      </c>
      <c r="W43" s="247">
        <f>IF(ISNA(V43),VLOOKUP(E43,категория!A$42:C$74,3,),6.94+R43*8.333/VLOOKUP(V43,категория!A$42:C$74,2,))*1.2</f>
        <v>10.465845517241378</v>
      </c>
    </row>
    <row r="44" spans="1:23" ht="15" customHeight="1">
      <c r="A44" s="277">
        <v>43834.743055555555</v>
      </c>
      <c r="B44" s="277">
        <v>43834.753472222219</v>
      </c>
      <c r="C44" s="277">
        <f t="shared" si="2"/>
        <v>1.0416666664241347E-2</v>
      </c>
      <c r="D44" s="278">
        <v>1.0416666666666666E-2</v>
      </c>
      <c r="E44" s="329" t="s">
        <v>170</v>
      </c>
      <c r="F44" s="330"/>
      <c r="G44" s="330"/>
      <c r="H44" s="330"/>
      <c r="I44" s="330"/>
      <c r="J44" s="330"/>
      <c r="K44" s="330"/>
      <c r="L44" s="330"/>
      <c r="M44" s="330"/>
      <c r="N44" s="330"/>
      <c r="O44" s="330"/>
      <c r="P44" s="330"/>
      <c r="Q44" s="330"/>
      <c r="R44" s="330"/>
      <c r="S44" s="330"/>
      <c r="T44" s="330"/>
      <c r="U44" s="331"/>
      <c r="V44" s="247" t="e">
        <f>VLOOKUP(E44,Лист4!A$2:G$395,7,FALSE)</f>
        <v>#N/A</v>
      </c>
      <c r="W44" s="247">
        <f>IF(ISNA(V44),VLOOKUP(E44,категория!A$42:C$74,3,),6.94+R44*8.333/VLOOKUP(V44,категория!A$42:C$74,2,))</f>
        <v>2.085</v>
      </c>
    </row>
    <row r="45" spans="1:23" ht="15.75">
      <c r="A45" s="277">
        <v>43834.753472222219</v>
      </c>
      <c r="B45" s="277">
        <v>43834.763888888891</v>
      </c>
      <c r="C45" s="277">
        <f t="shared" si="2"/>
        <v>1.0416666671517305E-2</v>
      </c>
      <c r="D45" s="278">
        <v>3.472222222222222E-3</v>
      </c>
      <c r="E45" s="329" t="s">
        <v>327</v>
      </c>
      <c r="F45" s="330"/>
      <c r="G45" s="330"/>
      <c r="H45" s="330"/>
      <c r="I45" s="330"/>
      <c r="J45" s="330"/>
      <c r="K45" s="330"/>
      <c r="L45" s="330"/>
      <c r="M45" s="330"/>
      <c r="N45" s="330"/>
      <c r="O45" s="330"/>
      <c r="P45" s="330"/>
      <c r="Q45" s="330"/>
      <c r="R45" s="330"/>
      <c r="S45" s="330"/>
      <c r="T45" s="330"/>
      <c r="U45" s="331"/>
      <c r="V45" s="247" t="e">
        <f>VLOOKUP(E45,Лист4!A$2:G$395,7,FALSE)</f>
        <v>#N/A</v>
      </c>
      <c r="W45" s="247">
        <f>8.33*0.25</f>
        <v>2.0825</v>
      </c>
    </row>
    <row r="46" spans="1:23" ht="19.5" customHeight="1">
      <c r="A46" s="277">
        <v>43834.763888888891</v>
      </c>
      <c r="B46" s="277">
        <v>43834.798611111109</v>
      </c>
      <c r="C46" s="277">
        <f t="shared" si="2"/>
        <v>3.4722222218988463E-2</v>
      </c>
      <c r="D46" s="278">
        <v>3.4722222222222224E-2</v>
      </c>
      <c r="E46" s="279">
        <v>3323</v>
      </c>
      <c r="F46" s="280" t="s">
        <v>278</v>
      </c>
      <c r="G46" s="280" t="s">
        <v>328</v>
      </c>
      <c r="H46" s="281" t="s">
        <v>325</v>
      </c>
      <c r="I46" s="282">
        <v>43826</v>
      </c>
      <c r="J46" s="283"/>
      <c r="K46" s="279" t="s">
        <v>227</v>
      </c>
      <c r="L46" s="284"/>
      <c r="M46" s="285"/>
      <c r="N46" s="280" t="s">
        <v>40</v>
      </c>
      <c r="O46" s="279">
        <v>325</v>
      </c>
      <c r="P46" s="279" t="s">
        <v>236</v>
      </c>
      <c r="Q46" s="286" t="s">
        <v>229</v>
      </c>
      <c r="R46" s="287">
        <v>700</v>
      </c>
      <c r="S46" s="287">
        <v>900</v>
      </c>
      <c r="T46" s="283" t="s">
        <v>232</v>
      </c>
      <c r="U46" s="287" t="s">
        <v>230</v>
      </c>
      <c r="V46" s="247" t="s">
        <v>57</v>
      </c>
      <c r="W46" s="247">
        <f>IF(ISNA(V46),VLOOKUP(E46,категория!A$42:C$74,3,),6.94+R46*8.333/VLOOKUP(V46,категория!A$42:C$74,2,))*1.2</f>
        <v>10.741696551724138</v>
      </c>
    </row>
    <row r="47" spans="1:23" ht="15.75">
      <c r="A47" s="277">
        <v>43834.798611111109</v>
      </c>
      <c r="B47" s="277">
        <v>43834.809027777781</v>
      </c>
      <c r="C47" s="277">
        <f t="shared" si="2"/>
        <v>1.0416666671517305E-2</v>
      </c>
      <c r="D47" s="278">
        <v>1.0416666666666666E-2</v>
      </c>
      <c r="E47" s="329" t="s">
        <v>170</v>
      </c>
      <c r="F47" s="330"/>
      <c r="G47" s="330"/>
      <c r="H47" s="330"/>
      <c r="I47" s="330"/>
      <c r="J47" s="330"/>
      <c r="K47" s="330"/>
      <c r="L47" s="330"/>
      <c r="M47" s="330"/>
      <c r="N47" s="330"/>
      <c r="O47" s="330"/>
      <c r="P47" s="330"/>
      <c r="Q47" s="330"/>
      <c r="R47" s="330"/>
      <c r="S47" s="330"/>
      <c r="T47" s="330"/>
      <c r="U47" s="331"/>
      <c r="V47" s="247" t="e">
        <f>VLOOKUP(E47,Лист4!A$2:G$395,7,FALSE)</f>
        <v>#N/A</v>
      </c>
      <c r="W47" s="247">
        <f>IF(ISNA(V47),VLOOKUP(E47,категория!A$42:C$74,3,),6.94+R47*8.333/VLOOKUP(V47,категория!A$42:C$74,2,))</f>
        <v>2.085</v>
      </c>
    </row>
    <row r="48" spans="1:23" ht="22.5" customHeight="1">
      <c r="A48" s="277">
        <v>43834.809027777781</v>
      </c>
      <c r="B48" s="277">
        <v>43834.822916666664</v>
      </c>
      <c r="C48" s="277">
        <f t="shared" si="2"/>
        <v>1.3888888883229811E-2</v>
      </c>
      <c r="D48" s="278">
        <v>2.0833333333333332E-2</v>
      </c>
      <c r="E48" s="329" t="s">
        <v>2</v>
      </c>
      <c r="F48" s="330"/>
      <c r="G48" s="330"/>
      <c r="H48" s="330"/>
      <c r="I48" s="330"/>
      <c r="J48" s="330"/>
      <c r="K48" s="330"/>
      <c r="L48" s="330"/>
      <c r="M48" s="330"/>
      <c r="N48" s="330"/>
      <c r="O48" s="330"/>
      <c r="P48" s="330"/>
      <c r="Q48" s="330"/>
      <c r="R48" s="330"/>
      <c r="S48" s="330"/>
      <c r="T48" s="330"/>
      <c r="U48" s="331"/>
      <c r="V48" s="247" t="e">
        <f>VLOOKUP(E48,Лист4!A$2:G$395,7,FALSE)</f>
        <v>#N/A</v>
      </c>
      <c r="W48" s="247">
        <f>IF(ISNA(V48),VLOOKUP(E48,категория!A$42:C$74,3,),6.94+R48*8.333/VLOOKUP(V48,категория!A$42:C$74,2,))</f>
        <v>4.17</v>
      </c>
    </row>
    <row r="49" spans="1:23" ht="15.75">
      <c r="A49" s="277">
        <v>43834.822916666664</v>
      </c>
      <c r="B49" s="277">
        <v>43834.833333333336</v>
      </c>
      <c r="C49" s="277">
        <f t="shared" si="2"/>
        <v>1.0416666671517305E-2</v>
      </c>
      <c r="D49" s="278">
        <v>2.0833333333333332E-2</v>
      </c>
      <c r="E49" s="329" t="s">
        <v>22</v>
      </c>
      <c r="F49" s="330"/>
      <c r="G49" s="330"/>
      <c r="H49" s="330"/>
      <c r="I49" s="330"/>
      <c r="J49" s="330"/>
      <c r="K49" s="330"/>
      <c r="L49" s="330"/>
      <c r="M49" s="330"/>
      <c r="N49" s="330"/>
      <c r="O49" s="330"/>
      <c r="P49" s="330"/>
      <c r="Q49" s="330"/>
      <c r="R49" s="330"/>
      <c r="S49" s="330"/>
      <c r="T49" s="330"/>
      <c r="U49" s="331"/>
      <c r="V49" s="247" t="e">
        <f>VLOOKUP(E49,Лист4!A$2:G$395,7,FALSE)</f>
        <v>#N/A</v>
      </c>
      <c r="W49" s="247">
        <f>IF(ISNA(V49),VLOOKUP(E49,категория!A$42:C$74,3,),6.94+R49*8.333/VLOOKUP(V49,категория!A$42:C$74,2,))</f>
        <v>4.17</v>
      </c>
    </row>
    <row r="50" spans="1:23" ht="23.25" customHeight="1">
      <c r="A50" s="288">
        <v>43834.833333333336</v>
      </c>
      <c r="B50" s="332" t="s">
        <v>406</v>
      </c>
      <c r="C50" s="333"/>
      <c r="D50" s="334"/>
      <c r="E50" s="334"/>
      <c r="F50" s="334"/>
      <c r="G50" s="334"/>
      <c r="H50" s="334"/>
      <c r="I50" s="334"/>
      <c r="J50" s="334"/>
      <c r="K50" s="334"/>
      <c r="L50" s="334"/>
      <c r="M50" s="334"/>
      <c r="N50" s="334"/>
      <c r="O50" s="334"/>
      <c r="P50" s="334"/>
      <c r="Q50" s="334"/>
      <c r="R50" s="334"/>
      <c r="S50" s="334"/>
      <c r="T50" s="334"/>
      <c r="U50" s="335"/>
      <c r="V50" s="247" t="e">
        <f>VLOOKUP(E50,Лист4!A$2:G$395,7,FALSE)</f>
        <v>#N/A</v>
      </c>
      <c r="W50" s="187">
        <f>SUM(W29:W49)</f>
        <v>111.56004965517238</v>
      </c>
    </row>
    <row r="51" spans="1:23" ht="15.75">
      <c r="A51" s="277">
        <v>43834.833333333336</v>
      </c>
      <c r="B51" s="277">
        <v>43834.854166666664</v>
      </c>
      <c r="C51" s="277">
        <f>B51-A51</f>
        <v>2.0833333328482695E-2</v>
      </c>
      <c r="D51" s="278">
        <v>2.0833333333333332E-2</v>
      </c>
      <c r="E51" s="329" t="s">
        <v>22</v>
      </c>
      <c r="F51" s="330"/>
      <c r="G51" s="330"/>
      <c r="H51" s="330"/>
      <c r="I51" s="330"/>
      <c r="J51" s="330"/>
      <c r="K51" s="330"/>
      <c r="L51" s="330"/>
      <c r="M51" s="330"/>
      <c r="N51" s="330"/>
      <c r="O51" s="330"/>
      <c r="P51" s="330"/>
      <c r="Q51" s="330"/>
      <c r="R51" s="330"/>
      <c r="S51" s="330"/>
      <c r="T51" s="330"/>
      <c r="U51" s="331"/>
      <c r="V51" s="247" t="e">
        <f>VLOOKUP(E51,Лист4!A$2:G$395,7,FALSE)</f>
        <v>#N/A</v>
      </c>
      <c r="W51" s="247">
        <f>IF(ISNA(V51),VLOOKUP(E51,категория!A$42:C$74,3,),6.94+R51*8.333/VLOOKUP(V51,категория!A$42:C$74,2,))</f>
        <v>4.17</v>
      </c>
    </row>
    <row r="52" spans="1:23" ht="22.5" customHeight="1">
      <c r="A52" s="277">
        <v>43834.854166666664</v>
      </c>
      <c r="B52" s="277">
        <v>43834.888888888891</v>
      </c>
      <c r="C52" s="277">
        <f t="shared" ref="C52:C64" si="3">B52-A52</f>
        <v>3.4722222226264421E-2</v>
      </c>
      <c r="D52" s="278">
        <v>3.472222222222222E-3</v>
      </c>
      <c r="E52" s="329" t="s">
        <v>327</v>
      </c>
      <c r="F52" s="330"/>
      <c r="G52" s="330"/>
      <c r="H52" s="330"/>
      <c r="I52" s="330"/>
      <c r="J52" s="330"/>
      <c r="K52" s="330"/>
      <c r="L52" s="330"/>
      <c r="M52" s="330"/>
      <c r="N52" s="330"/>
      <c r="O52" s="330"/>
      <c r="P52" s="330"/>
      <c r="Q52" s="330"/>
      <c r="R52" s="330"/>
      <c r="S52" s="330"/>
      <c r="T52" s="330"/>
      <c r="U52" s="331"/>
      <c r="V52" s="247" t="e">
        <f>VLOOKUP(E52,Лист4!A$2:G$395,7,FALSE)</f>
        <v>#N/A</v>
      </c>
      <c r="W52" s="247">
        <f>8.333*0.86</f>
        <v>7.1663800000000002</v>
      </c>
    </row>
    <row r="53" spans="1:23" ht="15.75">
      <c r="A53" s="277">
        <v>43834.888888888891</v>
      </c>
      <c r="B53" s="277">
        <v>43834.909722222219</v>
      </c>
      <c r="C53" s="277">
        <f t="shared" si="3"/>
        <v>2.0833333328482695E-2</v>
      </c>
      <c r="D53" s="278">
        <v>3.472222222222222E-3</v>
      </c>
      <c r="E53" s="329" t="s">
        <v>24</v>
      </c>
      <c r="F53" s="330"/>
      <c r="G53" s="330"/>
      <c r="H53" s="330"/>
      <c r="I53" s="330"/>
      <c r="J53" s="330"/>
      <c r="K53" s="330"/>
      <c r="L53" s="330"/>
      <c r="M53" s="330"/>
      <c r="N53" s="330"/>
      <c r="O53" s="330"/>
      <c r="P53" s="330"/>
      <c r="Q53" s="330"/>
      <c r="R53" s="330"/>
      <c r="S53" s="330"/>
      <c r="T53" s="330"/>
      <c r="U53" s="331"/>
      <c r="V53" s="247" t="e">
        <f>VLOOKUP(E53,Лист4!A$2:G$395,7,FALSE)</f>
        <v>#N/A</v>
      </c>
      <c r="W53" s="247">
        <f>IF(ISNA(V53),VLOOKUP(E53,категория!A$42:C$74,3,),6.94+R53*8.333/VLOOKUP(V53,категория!A$42:C$74,2,))</f>
        <v>3.47</v>
      </c>
    </row>
    <row r="54" spans="1:23" ht="20.25" customHeight="1">
      <c r="A54" s="277">
        <v>43834.909722222219</v>
      </c>
      <c r="B54" s="277">
        <v>43834.9375</v>
      </c>
      <c r="C54" s="277">
        <f t="shared" si="3"/>
        <v>2.7777777781011537E-2</v>
      </c>
      <c r="D54" s="278">
        <v>2.7777777777777776E-2</v>
      </c>
      <c r="E54" s="279">
        <v>3391</v>
      </c>
      <c r="F54" s="280" t="s">
        <v>407</v>
      </c>
      <c r="G54" s="280" t="s">
        <v>408</v>
      </c>
      <c r="H54" s="281" t="s">
        <v>226</v>
      </c>
      <c r="I54" s="282">
        <v>43830</v>
      </c>
      <c r="J54" s="283"/>
      <c r="K54" s="279" t="s">
        <v>227</v>
      </c>
      <c r="L54" s="284"/>
      <c r="M54" s="285"/>
      <c r="N54" s="280" t="s">
        <v>35</v>
      </c>
      <c r="O54" s="279">
        <v>250</v>
      </c>
      <c r="P54" s="279" t="s">
        <v>236</v>
      </c>
      <c r="Q54" s="286" t="s">
        <v>229</v>
      </c>
      <c r="R54" s="287">
        <v>650</v>
      </c>
      <c r="S54" s="287">
        <v>777</v>
      </c>
      <c r="T54" s="283" t="s">
        <v>232</v>
      </c>
      <c r="U54" s="287" t="s">
        <v>77</v>
      </c>
      <c r="V54" s="247" t="s">
        <v>60</v>
      </c>
      <c r="W54" s="247">
        <f>IF(ISNA(V54),VLOOKUP(E54,категория!A$42:C$74,3,),6.94+R54*8.333/VLOOKUP(V54,категория!A$42:C$74,2,))</f>
        <v>8.5813484848484851</v>
      </c>
    </row>
    <row r="55" spans="1:23" ht="15.75">
      <c r="A55" s="277">
        <v>43834.9375</v>
      </c>
      <c r="B55" s="277">
        <v>43834.944444444445</v>
      </c>
      <c r="C55" s="277">
        <f t="shared" si="3"/>
        <v>6.9444444452528842E-3</v>
      </c>
      <c r="D55" s="278">
        <v>1.0416666666666666E-2</v>
      </c>
      <c r="E55" s="329" t="s">
        <v>170</v>
      </c>
      <c r="F55" s="330"/>
      <c r="G55" s="330"/>
      <c r="H55" s="330"/>
      <c r="I55" s="330"/>
      <c r="J55" s="330"/>
      <c r="K55" s="330"/>
      <c r="L55" s="330"/>
      <c r="M55" s="330"/>
      <c r="N55" s="330"/>
      <c r="O55" s="330"/>
      <c r="P55" s="330"/>
      <c r="Q55" s="330"/>
      <c r="R55" s="330"/>
      <c r="S55" s="330"/>
      <c r="T55" s="330"/>
      <c r="U55" s="331"/>
      <c r="V55" s="247" t="e">
        <f>VLOOKUP(E55,Лист4!A$2:G$395,7,FALSE)</f>
        <v>#N/A</v>
      </c>
      <c r="W55" s="247">
        <f>IF(ISNA(V55),VLOOKUP(E55,категория!A$42:C$74,3,),6.94+R55*8.333/VLOOKUP(V55,категория!A$42:C$74,2,))</f>
        <v>2.085</v>
      </c>
    </row>
    <row r="56" spans="1:23" ht="26.25" customHeight="1">
      <c r="A56" s="277">
        <v>43834.944444444445</v>
      </c>
      <c r="B56" s="277">
        <v>43834.958333333336</v>
      </c>
      <c r="C56" s="277">
        <f t="shared" si="3"/>
        <v>1.3888888890505768E-2</v>
      </c>
      <c r="D56" s="278">
        <v>2.0833333333333332E-2</v>
      </c>
      <c r="E56" s="329" t="s">
        <v>2</v>
      </c>
      <c r="F56" s="330"/>
      <c r="G56" s="330"/>
      <c r="H56" s="330"/>
      <c r="I56" s="330"/>
      <c r="J56" s="330"/>
      <c r="K56" s="330"/>
      <c r="L56" s="330"/>
      <c r="M56" s="330"/>
      <c r="N56" s="330"/>
      <c r="O56" s="330"/>
      <c r="P56" s="330"/>
      <c r="Q56" s="330"/>
      <c r="R56" s="330"/>
      <c r="S56" s="330"/>
      <c r="T56" s="330"/>
      <c r="U56" s="331"/>
      <c r="V56" s="247" t="e">
        <f>VLOOKUP(E56,Лист4!A$2:G$395,7,FALSE)</f>
        <v>#N/A</v>
      </c>
      <c r="W56" s="247">
        <f>IF(ISNA(V56),VLOOKUP(E56,категория!A$42:C$74,3,),6.94+R56*8.333/VLOOKUP(V56,категория!A$42:C$74,2,))</f>
        <v>4.17</v>
      </c>
    </row>
    <row r="57" spans="1:23" ht="26.25" customHeight="1">
      <c r="A57" s="277">
        <v>43834.958333333336</v>
      </c>
      <c r="B57" s="277">
        <v>43834.979166666664</v>
      </c>
      <c r="C57" s="277">
        <f t="shared" si="3"/>
        <v>2.0833333328482695E-2</v>
      </c>
      <c r="D57" s="278">
        <v>1.7361111111111112E-2</v>
      </c>
      <c r="E57" s="329" t="s">
        <v>3</v>
      </c>
      <c r="F57" s="330"/>
      <c r="G57" s="330"/>
      <c r="H57" s="330"/>
      <c r="I57" s="330"/>
      <c r="J57" s="330"/>
      <c r="K57" s="330"/>
      <c r="L57" s="330"/>
      <c r="M57" s="330"/>
      <c r="N57" s="330"/>
      <c r="O57" s="330"/>
      <c r="P57" s="330"/>
      <c r="Q57" s="330"/>
      <c r="R57" s="330"/>
      <c r="S57" s="330"/>
      <c r="T57" s="330"/>
      <c r="U57" s="331"/>
      <c r="V57" s="247" t="e">
        <f>VLOOKUP(E57,Лист4!A$2:G$395,7,FALSE)</f>
        <v>#N/A</v>
      </c>
      <c r="W57" s="247">
        <f>IF(ISNA(V57),VLOOKUP(E57,категория!A$42:C$74,3,),6.94+R57*8.333/VLOOKUP(V57,категория!A$42:C$74,2,))</f>
        <v>4.17</v>
      </c>
    </row>
    <row r="58" spans="1:23" ht="15.75">
      <c r="A58" s="277">
        <v>43834.979166666664</v>
      </c>
      <c r="B58" s="277">
        <v>43834.989583333336</v>
      </c>
      <c r="C58" s="277">
        <f t="shared" si="3"/>
        <v>1.0416666671517305E-2</v>
      </c>
      <c r="D58" s="278">
        <v>2.0833333333333332E-2</v>
      </c>
      <c r="E58" s="329" t="s">
        <v>8</v>
      </c>
      <c r="F58" s="330"/>
      <c r="G58" s="330"/>
      <c r="H58" s="330"/>
      <c r="I58" s="330"/>
      <c r="J58" s="330"/>
      <c r="K58" s="330"/>
      <c r="L58" s="330"/>
      <c r="M58" s="330"/>
      <c r="N58" s="330"/>
      <c r="O58" s="330"/>
      <c r="P58" s="330"/>
      <c r="Q58" s="330"/>
      <c r="R58" s="330"/>
      <c r="S58" s="330"/>
      <c r="T58" s="330"/>
      <c r="U58" s="331"/>
      <c r="V58" s="247" t="e">
        <f>VLOOKUP(E58,Лист4!A$2:G$395,7,FALSE)</f>
        <v>#N/A</v>
      </c>
      <c r="W58" s="247">
        <f>IF(ISNA(V58),VLOOKUP(E58,категория!A$42:C$74,3,),6.94+R58*8.333/VLOOKUP(V58,категория!A$42:C$74,2,))</f>
        <v>4.17</v>
      </c>
    </row>
    <row r="59" spans="1:23" ht="15.75">
      <c r="A59" s="277">
        <v>43834.989583333336</v>
      </c>
      <c r="B59" s="277">
        <v>43835.010416666664</v>
      </c>
      <c r="C59" s="277">
        <f t="shared" si="3"/>
        <v>2.0833333328482695E-2</v>
      </c>
      <c r="D59" s="278">
        <v>2.0833333333333332E-2</v>
      </c>
      <c r="E59" s="329" t="s">
        <v>23</v>
      </c>
      <c r="F59" s="330"/>
      <c r="G59" s="330"/>
      <c r="H59" s="330"/>
      <c r="I59" s="330"/>
      <c r="J59" s="330"/>
      <c r="K59" s="330"/>
      <c r="L59" s="330"/>
      <c r="M59" s="330"/>
      <c r="N59" s="330"/>
      <c r="O59" s="330"/>
      <c r="P59" s="330"/>
      <c r="Q59" s="330"/>
      <c r="R59" s="330"/>
      <c r="S59" s="330"/>
      <c r="T59" s="330"/>
      <c r="U59" s="331"/>
      <c r="V59" s="247" t="e">
        <f>VLOOKUP(E59,Лист4!A$2:G$395,7,FALSE)</f>
        <v>#N/A</v>
      </c>
      <c r="W59" s="247">
        <f>IF(ISNA(V59),VLOOKUP(E59,категория!A$42:C$74,3,),6.94+R59*8.333/VLOOKUP(V59,категория!A$42:C$74,2,))</f>
        <v>2.78</v>
      </c>
    </row>
    <row r="60" spans="1:23" ht="15.75">
      <c r="A60" s="277">
        <v>43835.010416666664</v>
      </c>
      <c r="B60" s="277">
        <v>43835.204861111109</v>
      </c>
      <c r="C60" s="277">
        <f t="shared" si="3"/>
        <v>0.19444444444525288</v>
      </c>
      <c r="D60" s="278">
        <v>4.1666666666666664E-2</v>
      </c>
      <c r="E60" s="329" t="s">
        <v>409</v>
      </c>
      <c r="F60" s="330"/>
      <c r="G60" s="330"/>
      <c r="H60" s="330"/>
      <c r="I60" s="330"/>
      <c r="J60" s="330"/>
      <c r="K60" s="330"/>
      <c r="L60" s="330"/>
      <c r="M60" s="330"/>
      <c r="N60" s="330"/>
      <c r="O60" s="330"/>
      <c r="P60" s="330"/>
      <c r="Q60" s="330"/>
      <c r="R60" s="330"/>
      <c r="S60" s="330"/>
      <c r="T60" s="330"/>
      <c r="U60" s="331"/>
      <c r="V60" s="247" t="e">
        <f>VLOOKUP(E60,Лист4!A$2:G$395,7,FALSE)</f>
        <v>#N/A</v>
      </c>
      <c r="W60" s="247">
        <f>4.666*8.333</f>
        <v>38.881778000000004</v>
      </c>
    </row>
    <row r="61" spans="1:23" ht="15" customHeight="1">
      <c r="A61" s="277">
        <v>43835.204861111109</v>
      </c>
      <c r="B61" s="277">
        <v>43835.253472222219</v>
      </c>
      <c r="C61" s="277">
        <f t="shared" si="3"/>
        <v>4.8611111109494232E-2</v>
      </c>
      <c r="D61" s="278">
        <v>4.8611111111111112E-2</v>
      </c>
      <c r="E61" s="279">
        <v>3545</v>
      </c>
      <c r="F61" s="280" t="s">
        <v>302</v>
      </c>
      <c r="G61" s="280" t="s">
        <v>410</v>
      </c>
      <c r="H61" s="281" t="s">
        <v>226</v>
      </c>
      <c r="I61" s="282">
        <v>43838</v>
      </c>
      <c r="J61" s="283"/>
      <c r="K61" s="279" t="s">
        <v>267</v>
      </c>
      <c r="L61" s="284" t="s">
        <v>232</v>
      </c>
      <c r="M61" s="285"/>
      <c r="N61" s="280" t="s">
        <v>40</v>
      </c>
      <c r="O61" s="279">
        <v>235</v>
      </c>
      <c r="P61" s="279" t="s">
        <v>228</v>
      </c>
      <c r="Q61" s="286" t="s">
        <v>241</v>
      </c>
      <c r="R61" s="287">
        <v>2030</v>
      </c>
      <c r="S61" s="287">
        <v>2092</v>
      </c>
      <c r="T61" s="283" t="s">
        <v>232</v>
      </c>
      <c r="U61" s="287" t="s">
        <v>77</v>
      </c>
      <c r="V61" s="247" t="str">
        <f>VLOOKUP(E61,Лист4!A$2:G$395,7,FALSE)</f>
        <v>картон до 250</v>
      </c>
      <c r="W61" s="247">
        <f>IF(ISNA(V61),VLOOKUP(E61,категория!A$42:C$74,3,),6.94/2+R61*8.333/VLOOKUP(V61,категория!A$42:C$74,2,))</f>
        <v>8.5960575757575768</v>
      </c>
    </row>
    <row r="62" spans="1:23" ht="15.75">
      <c r="A62" s="277">
        <v>43835.253472222219</v>
      </c>
      <c r="B62" s="277">
        <v>43835.267361111109</v>
      </c>
      <c r="C62" s="277">
        <f t="shared" si="3"/>
        <v>1.3888888890505768E-2</v>
      </c>
      <c r="D62" s="278">
        <v>2.0833333333333332E-2</v>
      </c>
      <c r="E62" s="329" t="s">
        <v>2</v>
      </c>
      <c r="F62" s="330"/>
      <c r="G62" s="330"/>
      <c r="H62" s="330"/>
      <c r="I62" s="330"/>
      <c r="J62" s="330"/>
      <c r="K62" s="330"/>
      <c r="L62" s="330"/>
      <c r="M62" s="330"/>
      <c r="N62" s="330"/>
      <c r="O62" s="330"/>
      <c r="P62" s="330"/>
      <c r="Q62" s="330"/>
      <c r="R62" s="330"/>
      <c r="S62" s="330"/>
      <c r="T62" s="330"/>
      <c r="U62" s="331"/>
      <c r="V62" s="247" t="e">
        <f>VLOOKUP(E62,Лист4!A$2:G$395,7,FALSE)</f>
        <v>#N/A</v>
      </c>
      <c r="W62" s="247">
        <f>IF(ISNA(V62),VLOOKUP(E62,категория!A$42:C$74,3,),6.94+R62*8.333/VLOOKUP(V62,категория!A$42:C$74,2,))</f>
        <v>4.17</v>
      </c>
    </row>
    <row r="63" spans="1:23" ht="36" customHeight="1">
      <c r="A63" s="277">
        <v>43835.267361111109</v>
      </c>
      <c r="B63" s="277">
        <v>43835.302083333336</v>
      </c>
      <c r="C63" s="277">
        <f t="shared" si="3"/>
        <v>3.4722222226264421E-2</v>
      </c>
      <c r="D63" s="278">
        <v>3.4722222222222224E-2</v>
      </c>
      <c r="E63" s="329" t="s">
        <v>16</v>
      </c>
      <c r="F63" s="330"/>
      <c r="G63" s="330"/>
      <c r="H63" s="330"/>
      <c r="I63" s="330"/>
      <c r="J63" s="330"/>
      <c r="K63" s="330"/>
      <c r="L63" s="330"/>
      <c r="M63" s="330"/>
      <c r="N63" s="330"/>
      <c r="O63" s="330"/>
      <c r="P63" s="330"/>
      <c r="Q63" s="330"/>
      <c r="R63" s="330"/>
      <c r="S63" s="330"/>
      <c r="T63" s="330"/>
      <c r="U63" s="331"/>
      <c r="V63" s="247" t="e">
        <f>VLOOKUP(E63,Лист4!A$2:G$395,7,FALSE)</f>
        <v>#N/A</v>
      </c>
      <c r="W63" s="247">
        <f>IF(ISNA(V63),VLOOKUP(E63,категория!A$42:C$74,3,),6.94+R63*8.333/VLOOKUP(V63,категория!A$42:C$74,2,))</f>
        <v>8.3330000000000002</v>
      </c>
    </row>
    <row r="64" spans="1:23" ht="15.75">
      <c r="A64" s="277">
        <v>43835.302083333336</v>
      </c>
      <c r="B64" s="277">
        <v>43835.333333333336</v>
      </c>
      <c r="C64" s="277">
        <f t="shared" si="3"/>
        <v>3.125E-2</v>
      </c>
      <c r="D64" s="278">
        <v>4.1666666666666664E-2</v>
      </c>
      <c r="E64" s="329" t="s">
        <v>7</v>
      </c>
      <c r="F64" s="330"/>
      <c r="G64" s="330"/>
      <c r="H64" s="330"/>
      <c r="I64" s="330"/>
      <c r="J64" s="330"/>
      <c r="K64" s="330"/>
      <c r="L64" s="330"/>
      <c r="M64" s="330"/>
      <c r="N64" s="330"/>
      <c r="O64" s="330"/>
      <c r="P64" s="330"/>
      <c r="Q64" s="330"/>
      <c r="R64" s="330"/>
      <c r="S64" s="330"/>
      <c r="T64" s="330"/>
      <c r="U64" s="331"/>
      <c r="V64" s="247" t="e">
        <f>VLOOKUP(E64,Лист4!A$2:G$395,7,FALSE)</f>
        <v>#N/A</v>
      </c>
      <c r="W64" s="247">
        <f>IF(ISNA(V64),VLOOKUP(E64,категория!A$42:C$74,3,),6.94+R64*8.333/VLOOKUP(V64,категория!A$42:C$74,2,))*0.75</f>
        <v>6.2499749999999992</v>
      </c>
    </row>
    <row r="65" spans="1:23" ht="28.5" customHeight="1">
      <c r="A65" s="288">
        <v>43835.333333333336</v>
      </c>
      <c r="B65" s="332" t="s">
        <v>411</v>
      </c>
      <c r="C65" s="333"/>
      <c r="D65" s="334"/>
      <c r="E65" s="334"/>
      <c r="F65" s="334"/>
      <c r="G65" s="334"/>
      <c r="H65" s="334"/>
      <c r="I65" s="334"/>
      <c r="J65" s="334"/>
      <c r="K65" s="334"/>
      <c r="L65" s="334"/>
      <c r="M65" s="334"/>
      <c r="N65" s="334"/>
      <c r="O65" s="334"/>
      <c r="P65" s="334"/>
      <c r="Q65" s="334"/>
      <c r="R65" s="334"/>
      <c r="S65" s="334"/>
      <c r="T65" s="334"/>
      <c r="U65" s="335"/>
      <c r="V65" s="247" t="e">
        <f>VLOOKUP(E65,Лист4!A$2:G$395,7,FALSE)</f>
        <v>#N/A</v>
      </c>
      <c r="W65" s="187">
        <f>SUM(W51:W64)</f>
        <v>106.99353906060608</v>
      </c>
    </row>
    <row r="66" spans="1:23" ht="15.75">
      <c r="A66" s="277">
        <v>43835.333333333336</v>
      </c>
      <c r="B66" s="277">
        <v>43835.354166666664</v>
      </c>
      <c r="C66" s="277">
        <f>B66-A66</f>
        <v>2.0833333328482695E-2</v>
      </c>
      <c r="D66" s="278">
        <v>2.0833333333333332E-2</v>
      </c>
      <c r="E66" s="329" t="s">
        <v>22</v>
      </c>
      <c r="F66" s="330"/>
      <c r="G66" s="330"/>
      <c r="H66" s="330"/>
      <c r="I66" s="330"/>
      <c r="J66" s="330"/>
      <c r="K66" s="330"/>
      <c r="L66" s="330"/>
      <c r="M66" s="330"/>
      <c r="N66" s="330"/>
      <c r="O66" s="330"/>
      <c r="P66" s="330"/>
      <c r="Q66" s="330"/>
      <c r="R66" s="330"/>
      <c r="S66" s="330"/>
      <c r="T66" s="330"/>
      <c r="U66" s="331"/>
      <c r="V66" s="247" t="e">
        <f>VLOOKUP(E66,Лист4!A$2:G$395,7,FALSE)</f>
        <v>#N/A</v>
      </c>
      <c r="W66" s="247">
        <f>IF(ISNA(V66),VLOOKUP(E66,категория!A$42:C$74,3,),6.94+R66*8.333/VLOOKUP(V66,категория!A$42:C$74,2,))</f>
        <v>4.17</v>
      </c>
    </row>
    <row r="67" spans="1:23" ht="29.25" customHeight="1">
      <c r="A67" s="277">
        <v>43835.354166666664</v>
      </c>
      <c r="B67" s="277">
        <v>43835.375</v>
      </c>
      <c r="C67" s="277">
        <f t="shared" ref="C67:C75" si="4">B67-A67</f>
        <v>2.0833333335758653E-2</v>
      </c>
      <c r="D67" s="278">
        <v>2.0833333333333332E-2</v>
      </c>
      <c r="E67" s="329" t="s">
        <v>8</v>
      </c>
      <c r="F67" s="330"/>
      <c r="G67" s="330"/>
      <c r="H67" s="330"/>
      <c r="I67" s="330"/>
      <c r="J67" s="330"/>
      <c r="K67" s="330"/>
      <c r="L67" s="330"/>
      <c r="M67" s="330"/>
      <c r="N67" s="330"/>
      <c r="O67" s="330"/>
      <c r="P67" s="330"/>
      <c r="Q67" s="330"/>
      <c r="R67" s="330"/>
      <c r="S67" s="330"/>
      <c r="T67" s="330"/>
      <c r="U67" s="331"/>
      <c r="V67" s="247" t="e">
        <f>VLOOKUP(E67,Лист4!A$2:G$395,7,FALSE)</f>
        <v>#N/A</v>
      </c>
      <c r="W67" s="247">
        <f>IF(ISNA(V67),VLOOKUP(E67,категория!A$42:C$74,3,),6.94+R67*8.333/VLOOKUP(V67,категория!A$42:C$74,2,))</f>
        <v>4.17</v>
      </c>
    </row>
    <row r="68" spans="1:23" ht="15.75">
      <c r="A68" s="277">
        <v>43835.375</v>
      </c>
      <c r="B68" s="277">
        <v>43835.4375</v>
      </c>
      <c r="C68" s="277">
        <f t="shared" si="4"/>
        <v>6.25E-2</v>
      </c>
      <c r="D68" s="278">
        <v>4.1666666666666664E-2</v>
      </c>
      <c r="E68" s="329" t="s">
        <v>412</v>
      </c>
      <c r="F68" s="330"/>
      <c r="G68" s="330"/>
      <c r="H68" s="330"/>
      <c r="I68" s="330"/>
      <c r="J68" s="330"/>
      <c r="K68" s="330"/>
      <c r="L68" s="330"/>
      <c r="M68" s="330"/>
      <c r="N68" s="330"/>
      <c r="O68" s="330"/>
      <c r="P68" s="330"/>
      <c r="Q68" s="330"/>
      <c r="R68" s="330"/>
      <c r="S68" s="330"/>
      <c r="T68" s="330"/>
      <c r="U68" s="331"/>
      <c r="V68" s="247" t="e">
        <f>VLOOKUP(E68,Лист4!A$2:G$395,7,FALSE)</f>
        <v>#N/A</v>
      </c>
      <c r="W68" s="247">
        <f>8.333*1.5</f>
        <v>12.499500000000001</v>
      </c>
    </row>
    <row r="69" spans="1:23" ht="24" customHeight="1">
      <c r="A69" s="336">
        <v>43835.4375</v>
      </c>
      <c r="B69" s="336">
        <v>43835.458333333336</v>
      </c>
      <c r="C69" s="277">
        <f t="shared" si="4"/>
        <v>2.0833333335758653E-2</v>
      </c>
      <c r="D69" s="338">
        <v>2.0833333333333332E-2</v>
      </c>
      <c r="E69" s="340">
        <v>3541</v>
      </c>
      <c r="F69" s="280" t="s">
        <v>344</v>
      </c>
      <c r="G69" s="280" t="s">
        <v>345</v>
      </c>
      <c r="H69" s="281" t="s">
        <v>233</v>
      </c>
      <c r="I69" s="282">
        <v>43827</v>
      </c>
      <c r="J69" s="283"/>
      <c r="K69" s="279" t="s">
        <v>267</v>
      </c>
      <c r="L69" s="284" t="s">
        <v>232</v>
      </c>
      <c r="M69" s="285"/>
      <c r="N69" s="280" t="s">
        <v>41</v>
      </c>
      <c r="O69" s="279">
        <v>350</v>
      </c>
      <c r="P69" s="279" t="s">
        <v>236</v>
      </c>
      <c r="Q69" s="286" t="s">
        <v>229</v>
      </c>
      <c r="R69" s="287">
        <v>330</v>
      </c>
      <c r="S69" s="287">
        <v>498</v>
      </c>
      <c r="T69" s="283" t="s">
        <v>232</v>
      </c>
      <c r="U69" s="287" t="s">
        <v>230</v>
      </c>
      <c r="V69" s="247" t="s">
        <v>57</v>
      </c>
      <c r="W69" s="247">
        <f>IF(ISNA(V69),VLOOKUP(E69,категория!A$42:C$74,3,),6.94/2+R69*8.333/VLOOKUP(V69,категория!A$42:C$74,2,))</f>
        <v>4.4182379310344828</v>
      </c>
    </row>
    <row r="70" spans="1:23">
      <c r="A70" s="337"/>
      <c r="B70" s="337"/>
      <c r="C70" s="277">
        <f t="shared" si="4"/>
        <v>0</v>
      </c>
      <c r="D70" s="339"/>
      <c r="E70" s="341"/>
      <c r="F70" s="342" t="s">
        <v>338</v>
      </c>
      <c r="G70" s="343"/>
      <c r="H70" s="343"/>
      <c r="I70" s="343"/>
      <c r="J70" s="343"/>
      <c r="K70" s="343"/>
      <c r="L70" s="343"/>
      <c r="M70" s="343"/>
      <c r="N70" s="343"/>
      <c r="O70" s="343"/>
      <c r="P70" s="343"/>
      <c r="Q70" s="343"/>
      <c r="R70" s="343"/>
      <c r="S70" s="343"/>
      <c r="T70" s="343"/>
      <c r="U70" s="344"/>
      <c r="V70" s="247" t="e">
        <f>VLOOKUP(E70,Лист4!A$2:G$395,7,FALSE)</f>
        <v>#N/A</v>
      </c>
      <c r="W70" s="247">
        <v>0</v>
      </c>
    </row>
    <row r="71" spans="1:23" ht="17.25" customHeight="1">
      <c r="A71" s="277">
        <v>43835.458333333336</v>
      </c>
      <c r="B71" s="277">
        <v>43835.465277777781</v>
      </c>
      <c r="C71" s="277">
        <f t="shared" si="4"/>
        <v>6.9444444452528842E-3</v>
      </c>
      <c r="D71" s="278">
        <v>1.0416666666666666E-2</v>
      </c>
      <c r="E71" s="329" t="s">
        <v>170</v>
      </c>
      <c r="F71" s="330"/>
      <c r="G71" s="330"/>
      <c r="H71" s="330"/>
      <c r="I71" s="330"/>
      <c r="J71" s="330"/>
      <c r="K71" s="330"/>
      <c r="L71" s="330"/>
      <c r="M71" s="330"/>
      <c r="N71" s="330"/>
      <c r="O71" s="330"/>
      <c r="P71" s="330"/>
      <c r="Q71" s="330"/>
      <c r="R71" s="330"/>
      <c r="S71" s="330"/>
      <c r="T71" s="330"/>
      <c r="U71" s="331"/>
      <c r="V71" s="247" t="e">
        <f>VLOOKUP(E71,Лист4!A$2:G$395,7,FALSE)</f>
        <v>#N/A</v>
      </c>
      <c r="W71" s="247">
        <f>IF(ISNA(V71),VLOOKUP(E71,категория!A$42:C$74,3,),6.94+R71*8.333/VLOOKUP(V71,категория!A$42:C$74,2,))</f>
        <v>2.085</v>
      </c>
    </row>
    <row r="72" spans="1:23" ht="15.75">
      <c r="A72" s="277">
        <v>43835.465277777781</v>
      </c>
      <c r="B72" s="277">
        <v>43835.486111111109</v>
      </c>
      <c r="C72" s="277">
        <f t="shared" si="4"/>
        <v>2.0833333328482695E-2</v>
      </c>
      <c r="D72" s="278">
        <v>2.0833333333333332E-2</v>
      </c>
      <c r="E72" s="329" t="s">
        <v>2</v>
      </c>
      <c r="F72" s="330"/>
      <c r="G72" s="330"/>
      <c r="H72" s="330"/>
      <c r="I72" s="330"/>
      <c r="J72" s="330"/>
      <c r="K72" s="330"/>
      <c r="L72" s="330"/>
      <c r="M72" s="330"/>
      <c r="N72" s="330"/>
      <c r="O72" s="330"/>
      <c r="P72" s="330"/>
      <c r="Q72" s="330"/>
      <c r="R72" s="330"/>
      <c r="S72" s="330"/>
      <c r="T72" s="330"/>
      <c r="U72" s="331"/>
      <c r="V72" s="247" t="e">
        <f>VLOOKUP(E72,Лист4!A$2:G$395,7,FALSE)</f>
        <v>#N/A</v>
      </c>
      <c r="W72" s="247">
        <f>IF(ISNA(V72),VLOOKUP(E72,категория!A$42:C$74,3,),6.94+R72*8.333/VLOOKUP(V72,категория!A$42:C$74,2,))</f>
        <v>4.17</v>
      </c>
    </row>
    <row r="73" spans="1:23" ht="14.25" customHeight="1">
      <c r="A73" s="277">
        <v>43835.486111111109</v>
      </c>
      <c r="B73" s="277">
        <v>43835.555555555555</v>
      </c>
      <c r="C73" s="277">
        <f t="shared" si="4"/>
        <v>6.9444444445252884E-2</v>
      </c>
      <c r="D73" s="278">
        <v>6.9444444444444434E-2</v>
      </c>
      <c r="E73" s="329" t="s">
        <v>18</v>
      </c>
      <c r="F73" s="330"/>
      <c r="G73" s="330"/>
      <c r="H73" s="330"/>
      <c r="I73" s="330"/>
      <c r="J73" s="330"/>
      <c r="K73" s="330"/>
      <c r="L73" s="330"/>
      <c r="M73" s="330"/>
      <c r="N73" s="330"/>
      <c r="O73" s="330"/>
      <c r="P73" s="330"/>
      <c r="Q73" s="330"/>
      <c r="R73" s="330"/>
      <c r="S73" s="330"/>
      <c r="T73" s="330"/>
      <c r="U73" s="331"/>
      <c r="V73" s="247" t="e">
        <f>VLOOKUP(E73,Лист4!A$2:G$395,7,FALSE)</f>
        <v>#N/A</v>
      </c>
      <c r="W73" s="247">
        <f>IF(ISNA(V73),VLOOKUP(E73,категория!A$42:C$74,3,),6.94+R73*8.333/VLOOKUP(V73,категория!A$42:C$74,2,))</f>
        <v>13.9</v>
      </c>
    </row>
    <row r="74" spans="1:23" ht="15.75">
      <c r="A74" s="277">
        <v>43835.555555555555</v>
      </c>
      <c r="B74" s="277">
        <v>43835.572916666664</v>
      </c>
      <c r="C74" s="277">
        <f t="shared" si="4"/>
        <v>1.7361111109494232E-2</v>
      </c>
      <c r="D74" s="278">
        <v>2.0833333333333332E-2</v>
      </c>
      <c r="E74" s="329" t="s">
        <v>23</v>
      </c>
      <c r="F74" s="330"/>
      <c r="G74" s="330"/>
      <c r="H74" s="330"/>
      <c r="I74" s="330"/>
      <c r="J74" s="330"/>
      <c r="K74" s="330"/>
      <c r="L74" s="330"/>
      <c r="M74" s="330"/>
      <c r="N74" s="330"/>
      <c r="O74" s="330"/>
      <c r="P74" s="330"/>
      <c r="Q74" s="330"/>
      <c r="R74" s="330"/>
      <c r="S74" s="330"/>
      <c r="T74" s="330"/>
      <c r="U74" s="331"/>
      <c r="V74" s="247" t="e">
        <f>VLOOKUP(E74,Лист4!A$2:G$395,7,FALSE)</f>
        <v>#N/A</v>
      </c>
      <c r="W74" s="247">
        <f>IF(ISNA(V74),VLOOKUP(E74,категория!A$42:C$74,3,),6.94+R74*8.333/VLOOKUP(V74,категория!A$42:C$74,2,))</f>
        <v>2.78</v>
      </c>
    </row>
    <row r="75" spans="1:23" ht="21.75" customHeight="1">
      <c r="A75" s="277">
        <v>43835.572916666664</v>
      </c>
      <c r="B75" s="277">
        <v>43835.833333333336</v>
      </c>
      <c r="C75" s="277">
        <f t="shared" si="4"/>
        <v>0.26041666667151731</v>
      </c>
      <c r="D75" s="278">
        <v>4.1666666666666664E-2</v>
      </c>
      <c r="E75" s="329" t="s">
        <v>283</v>
      </c>
      <c r="F75" s="330"/>
      <c r="G75" s="330"/>
      <c r="H75" s="330"/>
      <c r="I75" s="330"/>
      <c r="J75" s="330"/>
      <c r="K75" s="330"/>
      <c r="L75" s="330"/>
      <c r="M75" s="330"/>
      <c r="N75" s="330"/>
      <c r="O75" s="330"/>
      <c r="P75" s="330"/>
      <c r="Q75" s="330"/>
      <c r="R75" s="330"/>
      <c r="S75" s="330"/>
      <c r="T75" s="330"/>
      <c r="U75" s="331"/>
      <c r="V75" s="247" t="e">
        <f>VLOOKUP(E75,Лист4!A$2:G$395,7,FALSE)</f>
        <v>#N/A</v>
      </c>
      <c r="W75" s="247">
        <f>8.333*6.25</f>
        <v>52.081250000000004</v>
      </c>
    </row>
    <row r="76" spans="1:23" ht="15.75">
      <c r="A76" s="288">
        <v>43835.833333333336</v>
      </c>
      <c r="B76" s="332" t="s">
        <v>413</v>
      </c>
      <c r="C76" s="333"/>
      <c r="D76" s="334"/>
      <c r="E76" s="334"/>
      <c r="F76" s="334"/>
      <c r="G76" s="334"/>
      <c r="H76" s="334"/>
      <c r="I76" s="334"/>
      <c r="J76" s="334"/>
      <c r="K76" s="334"/>
      <c r="L76" s="334"/>
      <c r="M76" s="334"/>
      <c r="N76" s="334"/>
      <c r="O76" s="334"/>
      <c r="P76" s="334"/>
      <c r="Q76" s="334"/>
      <c r="R76" s="334"/>
      <c r="S76" s="334"/>
      <c r="T76" s="334"/>
      <c r="U76" s="335"/>
      <c r="V76" s="247" t="e">
        <f>VLOOKUP(E76,Лист4!A$2:G$395,7,FALSE)</f>
        <v>#N/A</v>
      </c>
      <c r="W76" s="187">
        <f>SUM(W66:W75)</f>
        <v>100.2739879310345</v>
      </c>
    </row>
    <row r="77" spans="1:23" ht="15.75">
      <c r="A77" s="277">
        <v>43835.833333333336</v>
      </c>
      <c r="B77" s="277">
        <v>43836.770833333336</v>
      </c>
      <c r="C77" s="277"/>
      <c r="D77" s="278">
        <v>4.1666666666666664E-2</v>
      </c>
      <c r="E77" s="329" t="s">
        <v>283</v>
      </c>
      <c r="F77" s="330"/>
      <c r="G77" s="330"/>
      <c r="H77" s="330"/>
      <c r="I77" s="330"/>
      <c r="J77" s="330"/>
      <c r="K77" s="330"/>
      <c r="L77" s="330"/>
      <c r="M77" s="330"/>
      <c r="N77" s="330"/>
      <c r="O77" s="330"/>
      <c r="P77" s="330"/>
      <c r="Q77" s="330"/>
      <c r="R77" s="330"/>
      <c r="S77" s="330"/>
      <c r="T77" s="330"/>
      <c r="U77" s="331"/>
      <c r="V77" s="247" t="e">
        <f>VLOOKUP(E77,Лист4!A$2:G$395,7,FALSE)</f>
        <v>#N/A</v>
      </c>
      <c r="W77" s="187">
        <v>100</v>
      </c>
    </row>
    <row r="78" spans="1:23" ht="15.75">
      <c r="A78" s="288">
        <v>43836.333333333336</v>
      </c>
      <c r="B78" s="332" t="s">
        <v>414</v>
      </c>
      <c r="C78" s="333"/>
      <c r="D78" s="334"/>
      <c r="E78" s="334"/>
      <c r="F78" s="334"/>
      <c r="G78" s="334"/>
      <c r="H78" s="334"/>
      <c r="I78" s="334"/>
      <c r="J78" s="334"/>
      <c r="K78" s="334"/>
      <c r="L78" s="334"/>
      <c r="M78" s="334"/>
      <c r="N78" s="334"/>
      <c r="O78" s="334"/>
      <c r="P78" s="334"/>
      <c r="Q78" s="334"/>
      <c r="R78" s="334"/>
      <c r="S78" s="334"/>
      <c r="T78" s="334"/>
      <c r="U78" s="335"/>
      <c r="V78" s="247" t="e">
        <f>VLOOKUP(E78,Лист4!A$2:G$395,7,FALSE)</f>
        <v>#N/A</v>
      </c>
      <c r="W78" s="247" t="e">
        <f>IF(ISNA(V78),VLOOKUP(E78,категория!A$42:C$74,3,),6.94+R78*8.333/VLOOKUP(V78,категория!A$42:C$74,2,))</f>
        <v>#N/A</v>
      </c>
    </row>
    <row r="79" spans="1:23" ht="15.75">
      <c r="A79" s="277">
        <v>43836.770833333336</v>
      </c>
      <c r="B79" s="277">
        <v>43836.8125</v>
      </c>
      <c r="C79" s="277"/>
      <c r="D79" s="278">
        <v>0.5</v>
      </c>
      <c r="E79" s="329" t="s">
        <v>339</v>
      </c>
      <c r="F79" s="330"/>
      <c r="G79" s="330"/>
      <c r="H79" s="330"/>
      <c r="I79" s="330"/>
      <c r="J79" s="330"/>
      <c r="K79" s="330"/>
      <c r="L79" s="330"/>
      <c r="M79" s="330"/>
      <c r="N79" s="330"/>
      <c r="O79" s="330"/>
      <c r="P79" s="330"/>
      <c r="Q79" s="330"/>
      <c r="R79" s="330"/>
      <c r="S79" s="330"/>
      <c r="T79" s="330"/>
      <c r="U79" s="331"/>
      <c r="V79" s="247" t="e">
        <f>VLOOKUP(E79,Лист4!A$2:G$395,7,FALSE)</f>
        <v>#N/A</v>
      </c>
      <c r="W79" s="247" t="e">
        <f>IF(ISNA(V79),VLOOKUP(E79,категория!A$42:C$74,3,),6.94+R79*8.333/VLOOKUP(V79,категория!A$42:C$74,2,))</f>
        <v>#N/A</v>
      </c>
    </row>
    <row r="80" spans="1:23" ht="15.75">
      <c r="A80" s="277">
        <v>43836.8125</v>
      </c>
      <c r="B80" s="277">
        <v>43837.333333333336</v>
      </c>
      <c r="C80" s="277"/>
      <c r="D80" s="278">
        <v>4.1666666666666664E-2</v>
      </c>
      <c r="E80" s="329" t="s">
        <v>283</v>
      </c>
      <c r="F80" s="330"/>
      <c r="G80" s="330"/>
      <c r="H80" s="330"/>
      <c r="I80" s="330"/>
      <c r="J80" s="330"/>
      <c r="K80" s="330"/>
      <c r="L80" s="330"/>
      <c r="M80" s="330"/>
      <c r="N80" s="330"/>
      <c r="O80" s="330"/>
      <c r="P80" s="330"/>
      <c r="Q80" s="330"/>
      <c r="R80" s="330"/>
      <c r="S80" s="330"/>
      <c r="T80" s="330"/>
      <c r="U80" s="331"/>
      <c r="V80" s="247" t="e">
        <f>VLOOKUP(E80,Лист4!A$2:G$395,7,FALSE)</f>
        <v>#N/A</v>
      </c>
      <c r="W80" s="187">
        <v>100</v>
      </c>
    </row>
    <row r="81" spans="1:23" ht="15.75">
      <c r="A81" s="288">
        <v>43836.833333333336</v>
      </c>
      <c r="B81" s="332" t="s">
        <v>415</v>
      </c>
      <c r="C81" s="333"/>
      <c r="D81" s="334"/>
      <c r="E81" s="334"/>
      <c r="F81" s="334"/>
      <c r="G81" s="334"/>
      <c r="H81" s="334"/>
      <c r="I81" s="334"/>
      <c r="J81" s="334"/>
      <c r="K81" s="334"/>
      <c r="L81" s="334"/>
      <c r="M81" s="334"/>
      <c r="N81" s="334"/>
      <c r="O81" s="334"/>
      <c r="P81" s="334"/>
      <c r="Q81" s="334"/>
      <c r="R81" s="334"/>
      <c r="S81" s="334"/>
      <c r="T81" s="334"/>
      <c r="U81" s="335"/>
      <c r="V81" s="247" t="e">
        <f>VLOOKUP(E81,Лист4!A$2:G$395,7,FALSE)</f>
        <v>#N/A</v>
      </c>
      <c r="W81" s="247" t="e">
        <f>IF(ISNA(V81),VLOOKUP(E81,категория!A$42:C$74,3,),6.94+R81*8.333/VLOOKUP(V81,категория!A$42:C$74,2,))</f>
        <v>#N/A</v>
      </c>
    </row>
    <row r="82" spans="1:23" ht="15.75">
      <c r="A82" s="288">
        <v>43837.333333333336</v>
      </c>
      <c r="B82" s="332" t="s">
        <v>416</v>
      </c>
      <c r="C82" s="333"/>
      <c r="D82" s="334"/>
      <c r="E82" s="334"/>
      <c r="F82" s="334"/>
      <c r="G82" s="334"/>
      <c r="H82" s="334"/>
      <c r="I82" s="334"/>
      <c r="J82" s="334"/>
      <c r="K82" s="334"/>
      <c r="L82" s="334"/>
      <c r="M82" s="334"/>
      <c r="N82" s="334"/>
      <c r="O82" s="334"/>
      <c r="P82" s="334"/>
      <c r="Q82" s="334"/>
      <c r="R82" s="334"/>
      <c r="S82" s="334"/>
      <c r="T82" s="334"/>
      <c r="U82" s="335"/>
      <c r="V82" s="247" t="e">
        <f>VLOOKUP(E82,Лист4!A$2:G$395,7,FALSE)</f>
        <v>#N/A</v>
      </c>
      <c r="W82" s="247" t="e">
        <f>IF(ISNA(V82),VLOOKUP(E82,категория!A$42:C$74,3,),6.94+R82*8.333/VLOOKUP(V82,категория!A$42:C$74,2,))</f>
        <v>#N/A</v>
      </c>
    </row>
    <row r="83" spans="1:23" ht="15.75">
      <c r="A83" s="288">
        <v>43837.833333333336</v>
      </c>
      <c r="B83" s="332" t="s">
        <v>417</v>
      </c>
      <c r="C83" s="333"/>
      <c r="D83" s="334"/>
      <c r="E83" s="334"/>
      <c r="F83" s="334"/>
      <c r="G83" s="334"/>
      <c r="H83" s="334"/>
      <c r="I83" s="334"/>
      <c r="J83" s="334"/>
      <c r="K83" s="334"/>
      <c r="L83" s="334"/>
      <c r="M83" s="334"/>
      <c r="N83" s="334"/>
      <c r="O83" s="334"/>
      <c r="P83" s="334"/>
      <c r="Q83" s="334"/>
      <c r="R83" s="334"/>
      <c r="S83" s="334"/>
      <c r="T83" s="334"/>
      <c r="U83" s="335"/>
      <c r="V83" s="247" t="e">
        <f>VLOOKUP(E83,Лист4!A$2:G$395,7,FALSE)</f>
        <v>#N/A</v>
      </c>
      <c r="W83" s="247" t="e">
        <f>IF(ISNA(V83),VLOOKUP(E83,категория!A$42:C$74,3,),6.94+R83*8.333/VLOOKUP(V83,категория!A$42:C$74,2,))</f>
        <v>#N/A</v>
      </c>
    </row>
    <row r="84" spans="1:23" ht="15.75">
      <c r="A84" s="288">
        <v>43838.333333333336</v>
      </c>
      <c r="B84" s="332" t="s">
        <v>418</v>
      </c>
      <c r="C84" s="333"/>
      <c r="D84" s="334"/>
      <c r="E84" s="334"/>
      <c r="F84" s="334"/>
      <c r="G84" s="334"/>
      <c r="H84" s="334"/>
      <c r="I84" s="334"/>
      <c r="J84" s="334"/>
      <c r="K84" s="334"/>
      <c r="L84" s="334"/>
      <c r="M84" s="334"/>
      <c r="N84" s="334"/>
      <c r="O84" s="334"/>
      <c r="P84" s="334"/>
      <c r="Q84" s="334"/>
      <c r="R84" s="334"/>
      <c r="S84" s="334"/>
      <c r="T84" s="334"/>
      <c r="U84" s="335"/>
      <c r="V84" s="247" t="e">
        <f>VLOOKUP(E84,Лист4!A$2:G$395,7,FALSE)</f>
        <v>#N/A</v>
      </c>
      <c r="W84" s="247" t="e">
        <f>IF(ISNA(V84),VLOOKUP(E84,категория!A$42:C$74,3,),6.94+R84*8.333/VLOOKUP(V84,категория!A$42:C$74,2,))</f>
        <v>#N/A</v>
      </c>
    </row>
    <row r="85" spans="1:23" ht="15.75">
      <c r="A85" s="277">
        <v>43838.333333333336</v>
      </c>
      <c r="B85" s="277">
        <v>43838.833333333336</v>
      </c>
      <c r="C85" s="277"/>
      <c r="D85" s="278">
        <v>4.1666666666666664E-2</v>
      </c>
      <c r="E85" s="329" t="s">
        <v>283</v>
      </c>
      <c r="F85" s="330"/>
      <c r="G85" s="330"/>
      <c r="H85" s="330"/>
      <c r="I85" s="330"/>
      <c r="J85" s="330"/>
      <c r="K85" s="330"/>
      <c r="L85" s="330"/>
      <c r="M85" s="330"/>
      <c r="N85" s="330"/>
      <c r="O85" s="330"/>
      <c r="P85" s="330"/>
      <c r="Q85" s="330"/>
      <c r="R85" s="330"/>
      <c r="S85" s="330"/>
      <c r="T85" s="330"/>
      <c r="U85" s="331"/>
      <c r="V85" s="247" t="e">
        <f>VLOOKUP(E85,Лист4!A$2:G$395,7,FALSE)</f>
        <v>#N/A</v>
      </c>
      <c r="W85" s="187">
        <v>100</v>
      </c>
    </row>
    <row r="86" spans="1:23" ht="15.75">
      <c r="A86" s="288">
        <v>43838.833333333336</v>
      </c>
      <c r="B86" s="332" t="s">
        <v>419</v>
      </c>
      <c r="C86" s="333"/>
      <c r="D86" s="334"/>
      <c r="E86" s="334"/>
      <c r="F86" s="334"/>
      <c r="G86" s="334"/>
      <c r="H86" s="334"/>
      <c r="I86" s="334"/>
      <c r="J86" s="334"/>
      <c r="K86" s="334"/>
      <c r="L86" s="334"/>
      <c r="M86" s="334"/>
      <c r="N86" s="334"/>
      <c r="O86" s="334"/>
      <c r="P86" s="334"/>
      <c r="Q86" s="334"/>
      <c r="R86" s="334"/>
      <c r="S86" s="334"/>
      <c r="T86" s="334"/>
      <c r="U86" s="335"/>
      <c r="V86" s="247" t="e">
        <f>VLOOKUP(E86,Лист4!A$2:G$395,7,FALSE)</f>
        <v>#N/A</v>
      </c>
      <c r="W86" s="247" t="e">
        <f>IF(ISNA(V86),VLOOKUP(E86,категория!A$42:C$74,3,),6.94+R86*8.333/VLOOKUP(V86,категория!A$42:C$74,2,))</f>
        <v>#N/A</v>
      </c>
    </row>
    <row r="87" spans="1:23" ht="15.75">
      <c r="A87" s="277">
        <v>43838.833333333336</v>
      </c>
      <c r="B87" s="277">
        <v>43838.854166666664</v>
      </c>
      <c r="C87" s="277">
        <f>B87-A87</f>
        <v>2.0833333328482695E-2</v>
      </c>
      <c r="D87" s="278">
        <v>2.0833333333333332E-2</v>
      </c>
      <c r="E87" s="329" t="s">
        <v>22</v>
      </c>
      <c r="F87" s="330"/>
      <c r="G87" s="330"/>
      <c r="H87" s="330"/>
      <c r="I87" s="330"/>
      <c r="J87" s="330"/>
      <c r="K87" s="330"/>
      <c r="L87" s="330"/>
      <c r="M87" s="330"/>
      <c r="N87" s="330"/>
      <c r="O87" s="330"/>
      <c r="P87" s="330"/>
      <c r="Q87" s="330"/>
      <c r="R87" s="330"/>
      <c r="S87" s="330"/>
      <c r="T87" s="330"/>
      <c r="U87" s="331"/>
      <c r="V87" s="247" t="e">
        <f>VLOOKUP(E87,Лист4!A$2:G$395,7,FALSE)</f>
        <v>#N/A</v>
      </c>
      <c r="W87" s="247">
        <f>IF(ISNA(V87),VLOOKUP(E87,категория!A$42:C$74,3,),6.94+R87*8.333/VLOOKUP(V87,категория!A$42:C$74,2,))</f>
        <v>4.17</v>
      </c>
    </row>
    <row r="88" spans="1:23" ht="38.25" customHeight="1">
      <c r="A88" s="277">
        <v>43838.854166666664</v>
      </c>
      <c r="B88" s="277">
        <v>43838.958333333336</v>
      </c>
      <c r="C88" s="277">
        <f t="shared" ref="C88:C102" si="5">B88-A88</f>
        <v>0.10416666667151731</v>
      </c>
      <c r="D88" s="278">
        <v>4.1666666666666664E-2</v>
      </c>
      <c r="E88" s="329" t="s">
        <v>231</v>
      </c>
      <c r="F88" s="330"/>
      <c r="G88" s="330"/>
      <c r="H88" s="330"/>
      <c r="I88" s="330"/>
      <c r="J88" s="330"/>
      <c r="K88" s="330"/>
      <c r="L88" s="330"/>
      <c r="M88" s="330"/>
      <c r="N88" s="330"/>
      <c r="O88" s="330"/>
      <c r="P88" s="330"/>
      <c r="Q88" s="330"/>
      <c r="R88" s="330"/>
      <c r="S88" s="330"/>
      <c r="T88" s="330"/>
      <c r="U88" s="331"/>
      <c r="V88" s="247" t="e">
        <f>VLOOKUP(E88,Лист4!A$2:G$395,7,FALSE)</f>
        <v>#N/A</v>
      </c>
      <c r="W88" s="247">
        <f>2.5*8.333</f>
        <v>20.8325</v>
      </c>
    </row>
    <row r="89" spans="1:23" ht="15.75">
      <c r="A89" s="277">
        <v>43838.958333333336</v>
      </c>
      <c r="B89" s="277">
        <v>43839.020833333336</v>
      </c>
      <c r="C89" s="277">
        <f t="shared" si="5"/>
        <v>6.25E-2</v>
      </c>
      <c r="D89" s="278">
        <v>8.3333333333333329E-2</v>
      </c>
      <c r="E89" s="329" t="s">
        <v>12</v>
      </c>
      <c r="F89" s="330"/>
      <c r="G89" s="330"/>
      <c r="H89" s="330"/>
      <c r="I89" s="330"/>
      <c r="J89" s="330"/>
      <c r="K89" s="330"/>
      <c r="L89" s="330"/>
      <c r="M89" s="330"/>
      <c r="N89" s="330"/>
      <c r="O89" s="330"/>
      <c r="P89" s="330"/>
      <c r="Q89" s="330"/>
      <c r="R89" s="330"/>
      <c r="S89" s="330"/>
      <c r="T89" s="330"/>
      <c r="U89" s="331"/>
      <c r="V89" s="247" t="e">
        <f>VLOOKUP(E89,Лист4!A$2:G$395,7,FALSE)</f>
        <v>#N/A</v>
      </c>
      <c r="W89" s="247">
        <f>IF(ISNA(V89),VLOOKUP(E89,категория!A$42:C$74,3,),6.94+R89*8.333/VLOOKUP(V89,категория!A$42:C$74,2,))</f>
        <v>16.670000000000002</v>
      </c>
    </row>
    <row r="90" spans="1:23" ht="38.25" customHeight="1">
      <c r="A90" s="277">
        <v>43839.020833333336</v>
      </c>
      <c r="B90" s="277">
        <v>43839.041666666664</v>
      </c>
      <c r="C90" s="277">
        <f t="shared" si="5"/>
        <v>2.0833333328482695E-2</v>
      </c>
      <c r="D90" s="278">
        <v>2.0833333333333332E-2</v>
      </c>
      <c r="E90" s="329" t="s">
        <v>23</v>
      </c>
      <c r="F90" s="330"/>
      <c r="G90" s="330"/>
      <c r="H90" s="330"/>
      <c r="I90" s="330"/>
      <c r="J90" s="330"/>
      <c r="K90" s="330"/>
      <c r="L90" s="330"/>
      <c r="M90" s="330"/>
      <c r="N90" s="330"/>
      <c r="O90" s="330"/>
      <c r="P90" s="330"/>
      <c r="Q90" s="330"/>
      <c r="R90" s="330"/>
      <c r="S90" s="330"/>
      <c r="T90" s="330"/>
      <c r="U90" s="331"/>
      <c r="V90" s="247" t="e">
        <f>VLOOKUP(E90,Лист4!A$2:G$395,7,FALSE)</f>
        <v>#N/A</v>
      </c>
      <c r="W90" s="247">
        <f>IF(ISNA(V90),VLOOKUP(E90,категория!A$42:C$74,3,),6.94+R90*8.333/VLOOKUP(V90,категория!A$42:C$74,2,))</f>
        <v>2.78</v>
      </c>
    </row>
    <row r="91" spans="1:23" ht="72">
      <c r="A91" s="277">
        <v>43839.041666666664</v>
      </c>
      <c r="B91" s="277">
        <v>43839.069444444445</v>
      </c>
      <c r="C91" s="277">
        <f t="shared" si="5"/>
        <v>2.7777777781011537E-2</v>
      </c>
      <c r="D91" s="278">
        <v>2.7777777777777776E-2</v>
      </c>
      <c r="E91" s="279">
        <v>3442</v>
      </c>
      <c r="F91" s="280" t="s">
        <v>303</v>
      </c>
      <c r="G91" s="280" t="s">
        <v>420</v>
      </c>
      <c r="H91" s="281" t="s">
        <v>226</v>
      </c>
      <c r="I91" s="282">
        <v>43846</v>
      </c>
      <c r="J91" s="283"/>
      <c r="K91" s="279" t="s">
        <v>227</v>
      </c>
      <c r="L91" s="284"/>
      <c r="M91" s="285"/>
      <c r="N91" s="280" t="s">
        <v>35</v>
      </c>
      <c r="O91" s="279">
        <v>215</v>
      </c>
      <c r="P91" s="279" t="s">
        <v>236</v>
      </c>
      <c r="Q91" s="286" t="s">
        <v>229</v>
      </c>
      <c r="R91" s="287">
        <v>1150</v>
      </c>
      <c r="S91" s="287">
        <v>1290</v>
      </c>
      <c r="T91" s="283" t="s">
        <v>232</v>
      </c>
      <c r="U91" s="287" t="s">
        <v>76</v>
      </c>
      <c r="V91" s="247" t="str">
        <f>VLOOKUP(E91,Лист4!A$2:G$395,7,FALSE)</f>
        <v>картон до 250</v>
      </c>
      <c r="W91" s="247">
        <f>IF(ISNA(V91),VLOOKUP(E91,категория!A$42:C$74,3,),6.94+R91*8.333/VLOOKUP(V91,категория!A$42:C$74,2,))</f>
        <v>9.8439242424242437</v>
      </c>
    </row>
    <row r="92" spans="1:23" ht="15.75">
      <c r="A92" s="277">
        <v>43839.069444444445</v>
      </c>
      <c r="B92" s="277">
        <v>43839.072916666664</v>
      </c>
      <c r="C92" s="277">
        <f t="shared" si="5"/>
        <v>3.4722222189884633E-3</v>
      </c>
      <c r="D92" s="278">
        <v>1.0416666666666666E-2</v>
      </c>
      <c r="E92" s="329" t="s">
        <v>170</v>
      </c>
      <c r="F92" s="330"/>
      <c r="G92" s="330"/>
      <c r="H92" s="330"/>
      <c r="I92" s="330"/>
      <c r="J92" s="330"/>
      <c r="K92" s="330"/>
      <c r="L92" s="330"/>
      <c r="M92" s="330"/>
      <c r="N92" s="330"/>
      <c r="O92" s="330"/>
      <c r="P92" s="330"/>
      <c r="Q92" s="330"/>
      <c r="R92" s="330"/>
      <c r="S92" s="330"/>
      <c r="T92" s="330"/>
      <c r="U92" s="331"/>
      <c r="V92" s="247" t="e">
        <f>VLOOKUP(E92,Лист4!A$2:G$395,7,FALSE)</f>
        <v>#N/A</v>
      </c>
      <c r="W92" s="247">
        <f>IF(ISNA(V92),VLOOKUP(E92,категория!A$42:C$74,3,),6.94+R92*8.333/VLOOKUP(V92,категория!A$42:C$74,2,))</f>
        <v>2.085</v>
      </c>
    </row>
    <row r="93" spans="1:23" ht="48">
      <c r="A93" s="277">
        <v>43839.072916666664</v>
      </c>
      <c r="B93" s="277">
        <v>43839.100694444445</v>
      </c>
      <c r="C93" s="277">
        <f t="shared" si="5"/>
        <v>2.7777777781011537E-2</v>
      </c>
      <c r="D93" s="278">
        <v>2.7777777777777776E-2</v>
      </c>
      <c r="E93" s="279">
        <v>3544</v>
      </c>
      <c r="F93" s="280" t="s">
        <v>278</v>
      </c>
      <c r="G93" s="280" t="s">
        <v>421</v>
      </c>
      <c r="H93" s="281" t="s">
        <v>281</v>
      </c>
      <c r="I93" s="282">
        <v>43861</v>
      </c>
      <c r="J93" s="283"/>
      <c r="K93" s="279" t="s">
        <v>227</v>
      </c>
      <c r="L93" s="284"/>
      <c r="M93" s="285"/>
      <c r="N93" s="280" t="s">
        <v>48</v>
      </c>
      <c r="O93" s="279">
        <v>300</v>
      </c>
      <c r="P93" s="279" t="s">
        <v>236</v>
      </c>
      <c r="Q93" s="286" t="s">
        <v>229</v>
      </c>
      <c r="R93" s="287">
        <v>1047</v>
      </c>
      <c r="S93" s="287">
        <v>1466</v>
      </c>
      <c r="T93" s="283" t="s">
        <v>232</v>
      </c>
      <c r="U93" s="287" t="s">
        <v>76</v>
      </c>
      <c r="V93" s="247" t="str">
        <f>VLOOKUP(E93,Лист4!A$2:G$395,7,FALSE)</f>
        <v>мел+офсет</v>
      </c>
      <c r="W93" s="247">
        <f>IF(ISNA(V93),VLOOKUP(E93,категория!A$42:C$74,3,),6.94+R93*8.333/VLOOKUP(V93,категория!A$42:C$74,2,))</f>
        <v>8.6849302000000002</v>
      </c>
    </row>
    <row r="94" spans="1:23" ht="15.75">
      <c r="A94" s="277">
        <v>43839.100694444445</v>
      </c>
      <c r="B94" s="277">
        <v>43839.104166666664</v>
      </c>
      <c r="C94" s="277">
        <f t="shared" si="5"/>
        <v>3.4722222189884633E-3</v>
      </c>
      <c r="D94" s="278">
        <v>1.0416666666666666E-2</v>
      </c>
      <c r="E94" s="329" t="s">
        <v>170</v>
      </c>
      <c r="F94" s="330"/>
      <c r="G94" s="330"/>
      <c r="H94" s="330"/>
      <c r="I94" s="330"/>
      <c r="J94" s="330"/>
      <c r="K94" s="330"/>
      <c r="L94" s="330"/>
      <c r="M94" s="330"/>
      <c r="N94" s="330"/>
      <c r="O94" s="330"/>
      <c r="P94" s="330"/>
      <c r="Q94" s="330"/>
      <c r="R94" s="330"/>
      <c r="S94" s="330"/>
      <c r="T94" s="330"/>
      <c r="U94" s="331"/>
      <c r="V94" s="247" t="e">
        <f>VLOOKUP(E94,Лист4!A$2:G$395,7,FALSE)</f>
        <v>#N/A</v>
      </c>
      <c r="W94" s="247">
        <f>IF(ISNA(V94),VLOOKUP(E94,категория!A$42:C$74,3,),6.94+R94*8.333/VLOOKUP(V94,категория!A$42:C$74,2,))</f>
        <v>2.085</v>
      </c>
    </row>
    <row r="95" spans="1:23" ht="15.75">
      <c r="A95" s="277">
        <v>43839.104166666664</v>
      </c>
      <c r="B95" s="277">
        <v>43839.145833333336</v>
      </c>
      <c r="C95" s="277">
        <f t="shared" si="5"/>
        <v>4.1666666671517305E-2</v>
      </c>
      <c r="D95" s="278">
        <v>3.472222222222222E-3</v>
      </c>
      <c r="E95" s="329" t="s">
        <v>237</v>
      </c>
      <c r="F95" s="330"/>
      <c r="G95" s="330"/>
      <c r="H95" s="330"/>
      <c r="I95" s="330"/>
      <c r="J95" s="330"/>
      <c r="K95" s="330"/>
      <c r="L95" s="330"/>
      <c r="M95" s="330"/>
      <c r="N95" s="330"/>
      <c r="O95" s="330"/>
      <c r="P95" s="330"/>
      <c r="Q95" s="330"/>
      <c r="R95" s="330"/>
      <c r="S95" s="330"/>
      <c r="T95" s="330"/>
      <c r="U95" s="331"/>
      <c r="V95" s="247" t="e">
        <f>VLOOKUP(E95,Лист4!A$2:G$395,7,FALSE)</f>
        <v>#N/A</v>
      </c>
      <c r="W95" s="247">
        <f>IF(ISNA(V95),VLOOKUP(E95,категория!A$42:C$74,3,),6.94+R95*8.333/VLOOKUP(V95,категория!A$42:C$74,2,))</f>
        <v>5.5553333333333335</v>
      </c>
    </row>
    <row r="96" spans="1:23" ht="48">
      <c r="A96" s="277">
        <v>43839.145833333336</v>
      </c>
      <c r="B96" s="277">
        <v>43839.170138888891</v>
      </c>
      <c r="C96" s="277">
        <f t="shared" si="5"/>
        <v>2.4305555554747116E-2</v>
      </c>
      <c r="D96" s="278">
        <v>2.4305555555555556E-2</v>
      </c>
      <c r="E96" s="279">
        <v>3544</v>
      </c>
      <c r="F96" s="280" t="s">
        <v>278</v>
      </c>
      <c r="G96" s="280" t="s">
        <v>421</v>
      </c>
      <c r="H96" s="281" t="s">
        <v>282</v>
      </c>
      <c r="I96" s="282">
        <v>43861</v>
      </c>
      <c r="J96" s="283"/>
      <c r="K96" s="279" t="s">
        <v>240</v>
      </c>
      <c r="L96" s="284"/>
      <c r="M96" s="285"/>
      <c r="N96" s="280" t="s">
        <v>48</v>
      </c>
      <c r="O96" s="279">
        <v>300</v>
      </c>
      <c r="P96" s="279" t="s">
        <v>236</v>
      </c>
      <c r="Q96" s="286" t="s">
        <v>229</v>
      </c>
      <c r="R96" s="287">
        <v>1200</v>
      </c>
      <c r="S96" s="287">
        <v>1466</v>
      </c>
      <c r="T96" s="283" t="s">
        <v>232</v>
      </c>
      <c r="U96" s="287" t="s">
        <v>76</v>
      </c>
      <c r="V96" s="247" t="str">
        <f>VLOOKUP(E96,Лист4!A$2:G$395,7,FALSE)</f>
        <v>мел+офсет</v>
      </c>
      <c r="W96" s="247">
        <f>IF(ISNA(V96),VLOOKUP(E96,категория!A$42:C$74,3,),6.94+R96*8.333/VLOOKUP(V96,категория!A$42:C$74,2,))</f>
        <v>8.9399200000000008</v>
      </c>
    </row>
    <row r="97" spans="1:23" ht="15.75">
      <c r="A97" s="277">
        <v>43839.170138888891</v>
      </c>
      <c r="B97" s="277">
        <v>43839.173611111109</v>
      </c>
      <c r="C97" s="277">
        <f t="shared" si="5"/>
        <v>3.4722222189884633E-3</v>
      </c>
      <c r="D97" s="278">
        <v>1.0416666666666666E-2</v>
      </c>
      <c r="E97" s="329" t="s">
        <v>170</v>
      </c>
      <c r="F97" s="330"/>
      <c r="G97" s="330"/>
      <c r="H97" s="330"/>
      <c r="I97" s="330"/>
      <c r="J97" s="330"/>
      <c r="K97" s="330"/>
      <c r="L97" s="330"/>
      <c r="M97" s="330"/>
      <c r="N97" s="330"/>
      <c r="O97" s="330"/>
      <c r="P97" s="330"/>
      <c r="Q97" s="330"/>
      <c r="R97" s="330"/>
      <c r="S97" s="330"/>
      <c r="T97" s="330"/>
      <c r="U97" s="331"/>
      <c r="V97" s="247" t="e">
        <f>VLOOKUP(E97,Лист4!A$2:G$395,7,FALSE)</f>
        <v>#N/A</v>
      </c>
      <c r="W97" s="247">
        <f>IF(ISNA(V97),VLOOKUP(E97,категория!A$42:C$74,3,),6.94+R97*8.333/VLOOKUP(V97,категория!A$42:C$74,2,))</f>
        <v>2.085</v>
      </c>
    </row>
    <row r="98" spans="1:23" ht="48">
      <c r="A98" s="277">
        <v>43839.173611111109</v>
      </c>
      <c r="B98" s="277">
        <v>43839.204861111109</v>
      </c>
      <c r="C98" s="277">
        <f t="shared" si="5"/>
        <v>3.125E-2</v>
      </c>
      <c r="D98" s="278">
        <v>3.125E-2</v>
      </c>
      <c r="E98" s="279">
        <v>3544</v>
      </c>
      <c r="F98" s="280" t="s">
        <v>278</v>
      </c>
      <c r="G98" s="280" t="s">
        <v>421</v>
      </c>
      <c r="H98" s="281" t="s">
        <v>245</v>
      </c>
      <c r="I98" s="282">
        <v>43861</v>
      </c>
      <c r="J98" s="283"/>
      <c r="K98" s="279" t="s">
        <v>227</v>
      </c>
      <c r="L98" s="284"/>
      <c r="M98" s="285"/>
      <c r="N98" s="280" t="s">
        <v>48</v>
      </c>
      <c r="O98" s="279">
        <v>300</v>
      </c>
      <c r="P98" s="279" t="s">
        <v>236</v>
      </c>
      <c r="Q98" s="286" t="s">
        <v>229</v>
      </c>
      <c r="R98" s="287">
        <v>1047</v>
      </c>
      <c r="S98" s="287">
        <v>1466</v>
      </c>
      <c r="T98" s="283" t="s">
        <v>232</v>
      </c>
      <c r="U98" s="287" t="s">
        <v>76</v>
      </c>
      <c r="V98" s="247" t="str">
        <f>VLOOKUP(E98,Лист4!A$2:G$395,7,FALSE)</f>
        <v>мел+офсет</v>
      </c>
      <c r="W98" s="247">
        <f>IF(ISNA(V98),VLOOKUP(E98,категория!A$42:C$74,3,),6.94+R98*8.333/VLOOKUP(V98,категория!A$42:C$74,2,))</f>
        <v>8.6849302000000002</v>
      </c>
    </row>
    <row r="99" spans="1:23" ht="15.75">
      <c r="A99" s="277">
        <v>43839.204861111109</v>
      </c>
      <c r="B99" s="277">
        <v>43839.270833333336</v>
      </c>
      <c r="C99" s="277">
        <f t="shared" si="5"/>
        <v>6.5972222226264421E-2</v>
      </c>
      <c r="D99" s="278">
        <v>3.472222222222222E-3</v>
      </c>
      <c r="E99" s="329" t="s">
        <v>237</v>
      </c>
      <c r="F99" s="330"/>
      <c r="G99" s="330"/>
      <c r="H99" s="330"/>
      <c r="I99" s="330"/>
      <c r="J99" s="330"/>
      <c r="K99" s="330"/>
      <c r="L99" s="330"/>
      <c r="M99" s="330"/>
      <c r="N99" s="330"/>
      <c r="O99" s="330"/>
      <c r="P99" s="330"/>
      <c r="Q99" s="330"/>
      <c r="R99" s="330"/>
      <c r="S99" s="330"/>
      <c r="T99" s="330"/>
      <c r="U99" s="331"/>
      <c r="V99" s="247" t="e">
        <f>VLOOKUP(E99,Лист4!A$2:G$395,7,FALSE)</f>
        <v>#N/A</v>
      </c>
      <c r="W99" s="247">
        <f>IF(ISNA(V99),VLOOKUP(E99,категория!A$42:C$74,3,),6.94+R99*8.333/VLOOKUP(V99,категория!A$42:C$74,2,))</f>
        <v>5.5553333333333335</v>
      </c>
    </row>
    <row r="100" spans="1:23" ht="48">
      <c r="A100" s="277">
        <v>43839.270833333336</v>
      </c>
      <c r="B100" s="277">
        <v>43839.295138888891</v>
      </c>
      <c r="C100" s="277">
        <f t="shared" si="5"/>
        <v>2.4305555554747116E-2</v>
      </c>
      <c r="D100" s="278">
        <v>2.4305555555555556E-2</v>
      </c>
      <c r="E100" s="279">
        <v>3544</v>
      </c>
      <c r="F100" s="280" t="s">
        <v>278</v>
      </c>
      <c r="G100" s="280" t="s">
        <v>421</v>
      </c>
      <c r="H100" s="281" t="s">
        <v>246</v>
      </c>
      <c r="I100" s="282">
        <v>43861</v>
      </c>
      <c r="J100" s="283"/>
      <c r="K100" s="279" t="s">
        <v>240</v>
      </c>
      <c r="L100" s="284"/>
      <c r="M100" s="285"/>
      <c r="N100" s="280" t="s">
        <v>48</v>
      </c>
      <c r="O100" s="279">
        <v>300</v>
      </c>
      <c r="P100" s="279" t="s">
        <v>236</v>
      </c>
      <c r="Q100" s="286" t="s">
        <v>229</v>
      </c>
      <c r="R100" s="287">
        <v>1200</v>
      </c>
      <c r="S100" s="287">
        <v>1466</v>
      </c>
      <c r="T100" s="283" t="s">
        <v>232</v>
      </c>
      <c r="U100" s="287" t="s">
        <v>76</v>
      </c>
      <c r="V100" s="247" t="str">
        <f>VLOOKUP(E100,Лист4!A$2:G$395,7,FALSE)</f>
        <v>мел+офсет</v>
      </c>
      <c r="W100" s="247">
        <f>IF(ISNA(V100),VLOOKUP(E100,категория!A$42:C$74,3,),6.94+R100*8.333/VLOOKUP(V100,категория!A$42:C$74,2,))</f>
        <v>8.9399200000000008</v>
      </c>
    </row>
    <row r="101" spans="1:23" ht="15.75">
      <c r="A101" s="277">
        <v>43839.295138888891</v>
      </c>
      <c r="B101" s="277">
        <v>43839.298611111109</v>
      </c>
      <c r="C101" s="277">
        <f t="shared" si="5"/>
        <v>3.4722222189884633E-3</v>
      </c>
      <c r="D101" s="278">
        <v>1.0416666666666666E-2</v>
      </c>
      <c r="E101" s="329" t="s">
        <v>170</v>
      </c>
      <c r="F101" s="330"/>
      <c r="G101" s="330"/>
      <c r="H101" s="330"/>
      <c r="I101" s="330"/>
      <c r="J101" s="330"/>
      <c r="K101" s="330"/>
      <c r="L101" s="330"/>
      <c r="M101" s="330"/>
      <c r="N101" s="330"/>
      <c r="O101" s="330"/>
      <c r="P101" s="330"/>
      <c r="Q101" s="330"/>
      <c r="R101" s="330"/>
      <c r="S101" s="330"/>
      <c r="T101" s="330"/>
      <c r="U101" s="331"/>
      <c r="V101" s="247" t="e">
        <f>VLOOKUP(E101,Лист4!A$2:G$395,7,FALSE)</f>
        <v>#N/A</v>
      </c>
      <c r="W101" s="247">
        <f>IF(ISNA(V101),VLOOKUP(E101,категория!A$42:C$74,3,),6.94+R101*8.333/VLOOKUP(V101,категория!A$42:C$74,2,))</f>
        <v>2.085</v>
      </c>
    </row>
    <row r="102" spans="1:23" ht="15.75">
      <c r="A102" s="277">
        <v>43839.298611111109</v>
      </c>
      <c r="B102" s="277">
        <v>43839.333333333336</v>
      </c>
      <c r="C102" s="277">
        <f t="shared" si="5"/>
        <v>3.4722222226264421E-2</v>
      </c>
      <c r="D102" s="278">
        <v>4.1666666666666664E-2</v>
      </c>
      <c r="E102" s="329" t="s">
        <v>7</v>
      </c>
      <c r="F102" s="330"/>
      <c r="G102" s="330"/>
      <c r="H102" s="330"/>
      <c r="I102" s="330"/>
      <c r="J102" s="330"/>
      <c r="K102" s="330"/>
      <c r="L102" s="330"/>
      <c r="M102" s="330"/>
      <c r="N102" s="330"/>
      <c r="O102" s="330"/>
      <c r="P102" s="330"/>
      <c r="Q102" s="330"/>
      <c r="R102" s="330"/>
      <c r="S102" s="330"/>
      <c r="T102" s="330"/>
      <c r="U102" s="331"/>
      <c r="V102" s="247" t="e">
        <f>VLOOKUP(E102,Лист4!A$2:G$395,7,FALSE)</f>
        <v>#N/A</v>
      </c>
      <c r="W102" s="247">
        <f>IF(ISNA(V102),VLOOKUP(E102,категория!A$42:C$74,3,),6.94+R102*8.333/VLOOKUP(V102,категория!A$42:C$74,2,))</f>
        <v>8.3332999999999995</v>
      </c>
    </row>
    <row r="103" spans="1:23" ht="15.75">
      <c r="A103" s="288">
        <v>43839.333333333336</v>
      </c>
      <c r="B103" s="332" t="s">
        <v>422</v>
      </c>
      <c r="C103" s="333"/>
      <c r="D103" s="334"/>
      <c r="E103" s="334"/>
      <c r="F103" s="334"/>
      <c r="G103" s="334"/>
      <c r="H103" s="334"/>
      <c r="I103" s="334"/>
      <c r="J103" s="334"/>
      <c r="K103" s="334"/>
      <c r="L103" s="334"/>
      <c r="M103" s="334"/>
      <c r="N103" s="334"/>
      <c r="O103" s="334"/>
      <c r="P103" s="334"/>
      <c r="Q103" s="334"/>
      <c r="R103" s="334"/>
      <c r="S103" s="334"/>
      <c r="T103" s="334"/>
      <c r="U103" s="335"/>
      <c r="V103" s="247" t="e">
        <f>VLOOKUP(E103,Лист4!A$2:G$395,7,FALSE)</f>
        <v>#N/A</v>
      </c>
      <c r="W103" s="187">
        <f>SUM(W87:W102)</f>
        <v>117.33009130909089</v>
      </c>
    </row>
    <row r="104" spans="1:23" ht="15.75">
      <c r="A104" s="277">
        <v>43839.333333333336</v>
      </c>
      <c r="B104" s="277">
        <v>43839.354166666664</v>
      </c>
      <c r="C104" s="277"/>
      <c r="D104" s="278">
        <v>2.0833333333333332E-2</v>
      </c>
      <c r="E104" s="329" t="s">
        <v>22</v>
      </c>
      <c r="F104" s="330"/>
      <c r="G104" s="330"/>
      <c r="H104" s="330"/>
      <c r="I104" s="330"/>
      <c r="J104" s="330"/>
      <c r="K104" s="330"/>
      <c r="L104" s="330"/>
      <c r="M104" s="330"/>
      <c r="N104" s="330"/>
      <c r="O104" s="330"/>
      <c r="P104" s="330"/>
      <c r="Q104" s="330"/>
      <c r="R104" s="330"/>
      <c r="S104" s="330"/>
      <c r="T104" s="330"/>
      <c r="U104" s="331"/>
      <c r="V104" s="247" t="e">
        <f>VLOOKUP(E104,Лист4!A$2:G$395,7,FALSE)</f>
        <v>#N/A</v>
      </c>
      <c r="W104" s="247">
        <f>IF(ISNA(V104),VLOOKUP(E104,категория!A$42:C$74,3,),6.94+R104*8.333/VLOOKUP(V104,категория!A$42:C$74,2,))</f>
        <v>4.17</v>
      </c>
    </row>
    <row r="105" spans="1:23" ht="48">
      <c r="A105" s="277">
        <v>43839.354166666664</v>
      </c>
      <c r="B105" s="277">
        <v>43839.395833333336</v>
      </c>
      <c r="C105" s="277"/>
      <c r="D105" s="278">
        <v>4.1666666666666664E-2</v>
      </c>
      <c r="E105" s="279">
        <v>3544</v>
      </c>
      <c r="F105" s="280" t="s">
        <v>278</v>
      </c>
      <c r="G105" s="280" t="s">
        <v>421</v>
      </c>
      <c r="H105" s="281" t="s">
        <v>248</v>
      </c>
      <c r="I105" s="282">
        <v>43861</v>
      </c>
      <c r="J105" s="283"/>
      <c r="K105" s="279" t="s">
        <v>227</v>
      </c>
      <c r="L105" s="284"/>
      <c r="M105" s="285"/>
      <c r="N105" s="280" t="s">
        <v>48</v>
      </c>
      <c r="O105" s="279">
        <v>300</v>
      </c>
      <c r="P105" s="279" t="s">
        <v>236</v>
      </c>
      <c r="Q105" s="286" t="s">
        <v>229</v>
      </c>
      <c r="R105" s="287">
        <v>1300</v>
      </c>
      <c r="S105" s="287">
        <v>1466</v>
      </c>
      <c r="T105" s="283" t="s">
        <v>232</v>
      </c>
      <c r="U105" s="287" t="s">
        <v>77</v>
      </c>
      <c r="V105" s="247" t="str">
        <f>VLOOKUP(E105,Лист4!A$2:G$395,7,FALSE)</f>
        <v>мел+офсет</v>
      </c>
      <c r="W105" s="247">
        <f>IF(ISNA(V105),VLOOKUP(E105,категория!A$42:C$74,3,),6.94+R105*8.333/VLOOKUP(V105,категория!A$42:C$74,2,))</f>
        <v>9.106580000000001</v>
      </c>
    </row>
    <row r="106" spans="1:23" ht="15.75">
      <c r="A106" s="277">
        <v>43839.395833333336</v>
      </c>
      <c r="B106" s="277">
        <v>43839.4375</v>
      </c>
      <c r="C106" s="277"/>
      <c r="D106" s="278">
        <v>4.1666666666666664E-2</v>
      </c>
      <c r="E106" s="329" t="s">
        <v>237</v>
      </c>
      <c r="F106" s="330"/>
      <c r="G106" s="330"/>
      <c r="H106" s="330"/>
      <c r="I106" s="330"/>
      <c r="J106" s="330"/>
      <c r="K106" s="330"/>
      <c r="L106" s="330"/>
      <c r="M106" s="330"/>
      <c r="N106" s="330"/>
      <c r="O106" s="330"/>
      <c r="P106" s="330"/>
      <c r="Q106" s="330"/>
      <c r="R106" s="330"/>
      <c r="S106" s="330"/>
      <c r="T106" s="330"/>
      <c r="U106" s="331"/>
      <c r="V106" s="247" t="e">
        <f>VLOOKUP(E106,Лист4!A$2:G$395,7,FALSE)</f>
        <v>#N/A</v>
      </c>
      <c r="W106" s="247">
        <f>IF(ISNA(V106),VLOOKUP(E106,категория!A$42:C$74,3,),6.94+R106*8.333/VLOOKUP(V106,категория!A$42:C$74,2,))</f>
        <v>5.5553333333333335</v>
      </c>
    </row>
    <row r="107" spans="1:23" ht="15.75">
      <c r="A107" s="277">
        <v>43839.4375</v>
      </c>
      <c r="B107" s="277">
        <v>43839.444444444445</v>
      </c>
      <c r="C107" s="277"/>
      <c r="D107" s="278">
        <v>6.9444444444444441E-3</v>
      </c>
      <c r="E107" s="329" t="s">
        <v>170</v>
      </c>
      <c r="F107" s="330"/>
      <c r="G107" s="330"/>
      <c r="H107" s="330"/>
      <c r="I107" s="330"/>
      <c r="J107" s="330"/>
      <c r="K107" s="330"/>
      <c r="L107" s="330"/>
      <c r="M107" s="330"/>
      <c r="N107" s="330"/>
      <c r="O107" s="330"/>
      <c r="P107" s="330"/>
      <c r="Q107" s="330"/>
      <c r="R107" s="330"/>
      <c r="S107" s="330"/>
      <c r="T107" s="330"/>
      <c r="U107" s="331"/>
      <c r="V107" s="247" t="e">
        <f>VLOOKUP(E107,Лист4!A$2:G$395,7,FALSE)</f>
        <v>#N/A</v>
      </c>
      <c r="W107" s="247">
        <f>IF(ISNA(V107),VLOOKUP(E107,категория!A$42:C$74,3,),6.94+R107*8.333/VLOOKUP(V107,категория!A$42:C$74,2,))</f>
        <v>2.085</v>
      </c>
    </row>
    <row r="108" spans="1:23" ht="48">
      <c r="A108" s="277">
        <v>43839.444444444445</v>
      </c>
      <c r="B108" s="277">
        <v>43839.479166666664</v>
      </c>
      <c r="C108" s="277"/>
      <c r="D108" s="278">
        <v>3.4722222222222224E-2</v>
      </c>
      <c r="E108" s="279">
        <v>3544</v>
      </c>
      <c r="F108" s="280" t="s">
        <v>278</v>
      </c>
      <c r="G108" s="280" t="s">
        <v>421</v>
      </c>
      <c r="H108" s="281" t="s">
        <v>247</v>
      </c>
      <c r="I108" s="282">
        <v>43861</v>
      </c>
      <c r="J108" s="283"/>
      <c r="K108" s="279" t="s">
        <v>240</v>
      </c>
      <c r="L108" s="284"/>
      <c r="M108" s="285"/>
      <c r="N108" s="280" t="s">
        <v>48</v>
      </c>
      <c r="O108" s="279">
        <v>300</v>
      </c>
      <c r="P108" s="279" t="s">
        <v>236</v>
      </c>
      <c r="Q108" s="286" t="s">
        <v>229</v>
      </c>
      <c r="R108" s="287">
        <v>1200</v>
      </c>
      <c r="S108" s="287">
        <v>1466</v>
      </c>
      <c r="T108" s="283" t="s">
        <v>232</v>
      </c>
      <c r="U108" s="287" t="s">
        <v>77</v>
      </c>
      <c r="V108" s="247" t="str">
        <f>VLOOKUP(E108,Лист4!A$2:G$395,7,FALSE)</f>
        <v>мел+офсет</v>
      </c>
      <c r="W108" s="247">
        <f>IF(ISNA(V108),VLOOKUP(E108,категория!A$42:C$74,3,),6.94+R108*8.333/VLOOKUP(V108,категория!A$42:C$74,2,))</f>
        <v>8.9399200000000008</v>
      </c>
    </row>
    <row r="109" spans="1:23" ht="15.75">
      <c r="A109" s="277">
        <v>43839.479166666664</v>
      </c>
      <c r="B109" s="277">
        <v>43839.486111111109</v>
      </c>
      <c r="C109" s="277"/>
      <c r="D109" s="278">
        <v>6.9444444444444441E-3</v>
      </c>
      <c r="E109" s="329" t="s">
        <v>170</v>
      </c>
      <c r="F109" s="330"/>
      <c r="G109" s="330"/>
      <c r="H109" s="330"/>
      <c r="I109" s="330"/>
      <c r="J109" s="330"/>
      <c r="K109" s="330"/>
      <c r="L109" s="330"/>
      <c r="M109" s="330"/>
      <c r="N109" s="330"/>
      <c r="O109" s="330"/>
      <c r="P109" s="330"/>
      <c r="Q109" s="330"/>
      <c r="R109" s="330"/>
      <c r="S109" s="330"/>
      <c r="T109" s="330"/>
      <c r="U109" s="331"/>
      <c r="V109" s="247" t="e">
        <f>VLOOKUP(E109,Лист4!A$2:G$395,7,FALSE)</f>
        <v>#N/A</v>
      </c>
      <c r="W109" s="247">
        <f>IF(ISNA(V109),VLOOKUP(E109,категория!A$42:C$74,3,),6.94+R109*8.333/VLOOKUP(V109,категория!A$42:C$74,2,))</f>
        <v>2.085</v>
      </c>
    </row>
    <row r="110" spans="1:23" ht="15.75">
      <c r="A110" s="277">
        <v>43839.486111111109</v>
      </c>
      <c r="B110" s="277">
        <v>43839.833333333336</v>
      </c>
      <c r="C110" s="277">
        <f>B110-A110</f>
        <v>0.34722222222626442</v>
      </c>
      <c r="D110" s="278">
        <v>0.36805555555555558</v>
      </c>
      <c r="E110" s="329" t="s">
        <v>283</v>
      </c>
      <c r="F110" s="330"/>
      <c r="G110" s="330"/>
      <c r="H110" s="330"/>
      <c r="I110" s="330"/>
      <c r="J110" s="330"/>
      <c r="K110" s="330"/>
      <c r="L110" s="330"/>
      <c r="M110" s="330"/>
      <c r="N110" s="330"/>
      <c r="O110" s="330"/>
      <c r="P110" s="330"/>
      <c r="Q110" s="330"/>
      <c r="R110" s="330"/>
      <c r="S110" s="330"/>
      <c r="T110" s="330"/>
      <c r="U110" s="331"/>
      <c r="V110" s="247" t="e">
        <f>VLOOKUP(E110,Лист4!A$2:G$395,7,FALSE)</f>
        <v>#N/A</v>
      </c>
      <c r="W110" s="247">
        <f>8*8.333</f>
        <v>66.664000000000001</v>
      </c>
    </row>
    <row r="111" spans="1:23" ht="29.25" customHeight="1">
      <c r="A111" s="288">
        <v>43839.833333333336</v>
      </c>
      <c r="B111" s="332" t="s">
        <v>423</v>
      </c>
      <c r="C111" s="333"/>
      <c r="D111" s="334"/>
      <c r="E111" s="334"/>
      <c r="F111" s="334"/>
      <c r="G111" s="334"/>
      <c r="H111" s="334"/>
      <c r="I111" s="334"/>
      <c r="J111" s="334"/>
      <c r="K111" s="334"/>
      <c r="L111" s="334"/>
      <c r="M111" s="334"/>
      <c r="N111" s="334"/>
      <c r="O111" s="334"/>
      <c r="P111" s="334"/>
      <c r="Q111" s="334"/>
      <c r="R111" s="334"/>
      <c r="S111" s="334"/>
      <c r="T111" s="334"/>
      <c r="U111" s="335"/>
      <c r="V111" s="247" t="e">
        <f>VLOOKUP(E111,Лист4!A$2:G$395,7,FALSE)</f>
        <v>#N/A</v>
      </c>
      <c r="W111" s="247">
        <v>100</v>
      </c>
    </row>
    <row r="112" spans="1:23" ht="15.75">
      <c r="A112" s="277">
        <v>43839.833333333336</v>
      </c>
      <c r="B112" s="277">
        <v>43839.854166666664</v>
      </c>
      <c r="C112" s="277">
        <f>B112-A112</f>
        <v>2.0833333328482695E-2</v>
      </c>
      <c r="D112" s="278">
        <v>2.0833333333333332E-2</v>
      </c>
      <c r="E112" s="329" t="s">
        <v>22</v>
      </c>
      <c r="F112" s="330"/>
      <c r="G112" s="330"/>
      <c r="H112" s="330"/>
      <c r="I112" s="330"/>
      <c r="J112" s="330"/>
      <c r="K112" s="330"/>
      <c r="L112" s="330"/>
      <c r="M112" s="330"/>
      <c r="N112" s="330"/>
      <c r="O112" s="330"/>
      <c r="P112" s="330"/>
      <c r="Q112" s="330"/>
      <c r="R112" s="330"/>
      <c r="S112" s="330"/>
      <c r="T112" s="330"/>
      <c r="U112" s="331"/>
      <c r="V112" s="247" t="e">
        <f>VLOOKUP(E112,Лист4!A$2:G$395,7,FALSE)</f>
        <v>#N/A</v>
      </c>
      <c r="W112" s="247">
        <f>IF(ISNA(V112),VLOOKUP(E112,категория!A$42:C$74,3,),6.94+R112*8.333/VLOOKUP(V112,категория!A$42:C$74,2,))</f>
        <v>4.17</v>
      </c>
    </row>
    <row r="113" spans="1:23" ht="24" customHeight="1">
      <c r="A113" s="277">
        <v>43839.854166666664</v>
      </c>
      <c r="B113" s="277">
        <v>43840.020833333336</v>
      </c>
      <c r="C113" s="277">
        <f t="shared" ref="C113:C135" si="6">B113-A113</f>
        <v>0.16666666667151731</v>
      </c>
      <c r="D113" s="278">
        <v>4.1666666666666664E-2</v>
      </c>
      <c r="E113" s="329" t="s">
        <v>231</v>
      </c>
      <c r="F113" s="330"/>
      <c r="G113" s="330"/>
      <c r="H113" s="330"/>
      <c r="I113" s="330"/>
      <c r="J113" s="330"/>
      <c r="K113" s="330"/>
      <c r="L113" s="330"/>
      <c r="M113" s="330"/>
      <c r="N113" s="330"/>
      <c r="O113" s="330"/>
      <c r="P113" s="330"/>
      <c r="Q113" s="330"/>
      <c r="R113" s="330"/>
      <c r="S113" s="330"/>
      <c r="T113" s="330"/>
      <c r="U113" s="331"/>
      <c r="V113" s="247" t="e">
        <f>VLOOKUP(E113,Лист4!A$2:G$395,7,FALSE)</f>
        <v>#N/A</v>
      </c>
      <c r="W113" s="247">
        <f>8.333*4</f>
        <v>33.332000000000001</v>
      </c>
    </row>
    <row r="114" spans="1:23" ht="15.75">
      <c r="A114" s="277">
        <v>43840.020833333336</v>
      </c>
      <c r="B114" s="277">
        <v>43840.041666666664</v>
      </c>
      <c r="C114" s="277">
        <f t="shared" si="6"/>
        <v>2.0833333328482695E-2</v>
      </c>
      <c r="D114" s="278">
        <v>2.0833333333333332E-2</v>
      </c>
      <c r="E114" s="329" t="s">
        <v>23</v>
      </c>
      <c r="F114" s="330"/>
      <c r="G114" s="330"/>
      <c r="H114" s="330"/>
      <c r="I114" s="330"/>
      <c r="J114" s="330"/>
      <c r="K114" s="330"/>
      <c r="L114" s="330"/>
      <c r="M114" s="330"/>
      <c r="N114" s="330"/>
      <c r="O114" s="330"/>
      <c r="P114" s="330"/>
      <c r="Q114" s="330"/>
      <c r="R114" s="330"/>
      <c r="S114" s="330"/>
      <c r="T114" s="330"/>
      <c r="U114" s="331"/>
      <c r="V114" s="247" t="e">
        <f>VLOOKUP(E114,Лист4!A$2:G$395,7,FALSE)</f>
        <v>#N/A</v>
      </c>
      <c r="W114" s="247">
        <f>IF(ISNA(V114),VLOOKUP(E114,категория!A$42:C$74,3,),6.94+R114*8.333/VLOOKUP(V114,категория!A$42:C$74,2,))</f>
        <v>2.78</v>
      </c>
    </row>
    <row r="115" spans="1:23" ht="23.25" customHeight="1">
      <c r="A115" s="277">
        <v>43840.041666666664</v>
      </c>
      <c r="B115" s="277">
        <v>43840.0625</v>
      </c>
      <c r="C115" s="277">
        <f t="shared" si="6"/>
        <v>2.0833333335758653E-2</v>
      </c>
      <c r="D115" s="278">
        <v>2.0833333333333332E-2</v>
      </c>
      <c r="E115" s="329" t="s">
        <v>8</v>
      </c>
      <c r="F115" s="330"/>
      <c r="G115" s="330"/>
      <c r="H115" s="330"/>
      <c r="I115" s="330"/>
      <c r="J115" s="330"/>
      <c r="K115" s="330"/>
      <c r="L115" s="330"/>
      <c r="M115" s="330"/>
      <c r="N115" s="330"/>
      <c r="O115" s="330"/>
      <c r="P115" s="330"/>
      <c r="Q115" s="330"/>
      <c r="R115" s="330"/>
      <c r="S115" s="330"/>
      <c r="T115" s="330"/>
      <c r="U115" s="331"/>
      <c r="V115" s="247" t="e">
        <f>VLOOKUP(E115,Лист4!A$2:G$395,7,FALSE)</f>
        <v>#N/A</v>
      </c>
      <c r="W115" s="247">
        <f>IF(ISNA(V115),VLOOKUP(E115,категория!A$42:C$74,3,),6.94+R115*8.333/VLOOKUP(V115,категория!A$42:C$74,2,))</f>
        <v>4.17</v>
      </c>
    </row>
    <row r="116" spans="1:23" ht="156">
      <c r="A116" s="277">
        <v>43840.0625</v>
      </c>
      <c r="B116" s="277">
        <v>43840.090277777781</v>
      </c>
      <c r="C116" s="277">
        <f t="shared" si="6"/>
        <v>2.7777777781011537E-2</v>
      </c>
      <c r="D116" s="278">
        <v>2.7777777777777776E-2</v>
      </c>
      <c r="E116" s="279">
        <v>28</v>
      </c>
      <c r="F116" s="280" t="s">
        <v>275</v>
      </c>
      <c r="G116" s="280" t="s">
        <v>424</v>
      </c>
      <c r="H116" s="281" t="s">
        <v>289</v>
      </c>
      <c r="I116" s="282">
        <v>43847</v>
      </c>
      <c r="J116" s="283"/>
      <c r="K116" s="279" t="s">
        <v>227</v>
      </c>
      <c r="L116" s="284"/>
      <c r="M116" s="285"/>
      <c r="N116" s="280" t="s">
        <v>38</v>
      </c>
      <c r="O116" s="279">
        <v>80</v>
      </c>
      <c r="P116" s="279" t="s">
        <v>236</v>
      </c>
      <c r="Q116" s="286" t="s">
        <v>229</v>
      </c>
      <c r="R116" s="287">
        <v>2370</v>
      </c>
      <c r="S116" s="287">
        <v>2569</v>
      </c>
      <c r="T116" s="283"/>
      <c r="U116" s="287" t="s">
        <v>76</v>
      </c>
      <c r="V116" s="247" t="str">
        <f>VLOOKUP(E116,Лист4!A$2:G$395,7,FALSE)</f>
        <v>мел+офсет</v>
      </c>
      <c r="W116" s="247">
        <f>IF(ISNA(V116),VLOOKUP(E116,категория!A$42:C$74,3,),6.94+R116*8.333/VLOOKUP(V116,категория!A$42:C$74,2,))</f>
        <v>10.889842</v>
      </c>
    </row>
    <row r="117" spans="1:23" ht="19.5" customHeight="1">
      <c r="A117" s="277">
        <v>43840.090277777781</v>
      </c>
      <c r="B117" s="277">
        <v>43840.09375</v>
      </c>
      <c r="C117" s="277">
        <f t="shared" si="6"/>
        <v>3.4722222189884633E-3</v>
      </c>
      <c r="D117" s="278">
        <v>1.0416666666666666E-2</v>
      </c>
      <c r="E117" s="329" t="s">
        <v>170</v>
      </c>
      <c r="F117" s="330"/>
      <c r="G117" s="330"/>
      <c r="H117" s="330"/>
      <c r="I117" s="330"/>
      <c r="J117" s="330"/>
      <c r="K117" s="330"/>
      <c r="L117" s="330"/>
      <c r="M117" s="330"/>
      <c r="N117" s="330"/>
      <c r="O117" s="330"/>
      <c r="P117" s="330"/>
      <c r="Q117" s="330"/>
      <c r="R117" s="330"/>
      <c r="S117" s="330"/>
      <c r="T117" s="330"/>
      <c r="U117" s="331"/>
      <c r="V117" s="247" t="e">
        <f>VLOOKUP(E117,Лист4!A$2:G$395,7,FALSE)</f>
        <v>#N/A</v>
      </c>
      <c r="W117" s="247">
        <f>IF(ISNA(V117),VLOOKUP(E117,категория!A$42:C$74,3,),6.94+R117*8.333/VLOOKUP(V117,категория!A$42:C$74,2,))</f>
        <v>2.085</v>
      </c>
    </row>
    <row r="118" spans="1:23" ht="48">
      <c r="A118" s="277">
        <v>43840.09375</v>
      </c>
      <c r="B118" s="277">
        <v>43840.107638888891</v>
      </c>
      <c r="C118" s="277">
        <f t="shared" si="6"/>
        <v>1.3888888890505768E-2</v>
      </c>
      <c r="D118" s="278">
        <v>1.3888888888888888E-2</v>
      </c>
      <c r="E118" s="279">
        <v>37</v>
      </c>
      <c r="F118" s="280" t="s">
        <v>310</v>
      </c>
      <c r="G118" s="280" t="s">
        <v>425</v>
      </c>
      <c r="H118" s="281" t="s">
        <v>316</v>
      </c>
      <c r="I118" s="282">
        <v>43845</v>
      </c>
      <c r="J118" s="283"/>
      <c r="K118" s="279" t="s">
        <v>235</v>
      </c>
      <c r="L118" s="284"/>
      <c r="M118" s="285"/>
      <c r="N118" s="280" t="s">
        <v>308</v>
      </c>
      <c r="O118" s="279">
        <v>120</v>
      </c>
      <c r="P118" s="279" t="s">
        <v>236</v>
      </c>
      <c r="Q118" s="286" t="s">
        <v>229</v>
      </c>
      <c r="R118" s="287">
        <v>20</v>
      </c>
      <c r="S118" s="287">
        <v>321</v>
      </c>
      <c r="T118" s="283"/>
      <c r="U118" s="287" t="s">
        <v>76</v>
      </c>
      <c r="V118" s="247" t="str">
        <f>VLOOKUP(E118,Лист4!A$2:G$395,7,FALSE)</f>
        <v>мел+офсет</v>
      </c>
      <c r="W118" s="247">
        <f>IF(ISNA(V118),VLOOKUP(E118,категория!A$42:C$74,3,),6.94+R118*8.333/VLOOKUP(V118,категория!A$42:C$74,2,))</f>
        <v>6.9733320000000001</v>
      </c>
    </row>
    <row r="119" spans="1:23" ht="28.5" customHeight="1">
      <c r="A119" s="277">
        <v>43840.107638888891</v>
      </c>
      <c r="B119" s="277">
        <v>43840.111111111109</v>
      </c>
      <c r="C119" s="277">
        <f t="shared" si="6"/>
        <v>3.4722222189884633E-3</v>
      </c>
      <c r="D119" s="278">
        <v>1.0416666666666666E-2</v>
      </c>
      <c r="E119" s="329" t="s">
        <v>170</v>
      </c>
      <c r="F119" s="330"/>
      <c r="G119" s="330"/>
      <c r="H119" s="330"/>
      <c r="I119" s="330"/>
      <c r="J119" s="330"/>
      <c r="K119" s="330"/>
      <c r="L119" s="330"/>
      <c r="M119" s="330"/>
      <c r="N119" s="330"/>
      <c r="O119" s="330"/>
      <c r="P119" s="330"/>
      <c r="Q119" s="330"/>
      <c r="R119" s="330"/>
      <c r="S119" s="330"/>
      <c r="T119" s="330"/>
      <c r="U119" s="331"/>
      <c r="V119" s="247" t="e">
        <f>VLOOKUP(E119,Лист4!A$2:G$395,7,FALSE)</f>
        <v>#N/A</v>
      </c>
      <c r="W119" s="247">
        <f>IF(ISNA(V119),VLOOKUP(E119,категория!A$42:C$74,3,),6.94+R119*8.333/VLOOKUP(V119,категория!A$42:C$74,2,))</f>
        <v>2.085</v>
      </c>
    </row>
    <row r="120" spans="1:23" ht="15.75">
      <c r="A120" s="277">
        <v>43840.111111111109</v>
      </c>
      <c r="B120" s="277">
        <v>43840.131944444445</v>
      </c>
      <c r="C120" s="277">
        <f t="shared" si="6"/>
        <v>2.0833333335758653E-2</v>
      </c>
      <c r="D120" s="278">
        <v>3.472222222222222E-3</v>
      </c>
      <c r="E120" s="329" t="s">
        <v>237</v>
      </c>
      <c r="F120" s="330"/>
      <c r="G120" s="330"/>
      <c r="H120" s="330"/>
      <c r="I120" s="330"/>
      <c r="J120" s="330"/>
      <c r="K120" s="330"/>
      <c r="L120" s="330"/>
      <c r="M120" s="330"/>
      <c r="N120" s="330"/>
      <c r="O120" s="330"/>
      <c r="P120" s="330"/>
      <c r="Q120" s="330"/>
      <c r="R120" s="330"/>
      <c r="S120" s="330"/>
      <c r="T120" s="330"/>
      <c r="U120" s="331"/>
      <c r="V120" s="247" t="e">
        <f>VLOOKUP(E120,Лист4!A$2:G$395,7,FALSE)</f>
        <v>#N/A</v>
      </c>
      <c r="W120" s="247">
        <f>IF(ISNA(V120),VLOOKUP(E120,категория!A$42:C$74,3,),6.94+R120*8.333/VLOOKUP(V120,категория!A$42:C$74,2,))</f>
        <v>5.5553333333333335</v>
      </c>
    </row>
    <row r="121" spans="1:23" ht="48">
      <c r="A121" s="277">
        <v>43840.131944444445</v>
      </c>
      <c r="B121" s="277">
        <v>43840.138888888891</v>
      </c>
      <c r="C121" s="277">
        <f t="shared" si="6"/>
        <v>6.9444444452528842E-3</v>
      </c>
      <c r="D121" s="278">
        <v>6.9444444444444441E-3</v>
      </c>
      <c r="E121" s="279">
        <v>37</v>
      </c>
      <c r="F121" s="280" t="s">
        <v>310</v>
      </c>
      <c r="G121" s="280" t="s">
        <v>425</v>
      </c>
      <c r="H121" s="281" t="s">
        <v>317</v>
      </c>
      <c r="I121" s="282">
        <v>43845</v>
      </c>
      <c r="J121" s="283"/>
      <c r="K121" s="279" t="s">
        <v>238</v>
      </c>
      <c r="L121" s="284"/>
      <c r="M121" s="285"/>
      <c r="N121" s="280" t="s">
        <v>308</v>
      </c>
      <c r="O121" s="279">
        <v>120</v>
      </c>
      <c r="P121" s="279" t="s">
        <v>236</v>
      </c>
      <c r="Q121" s="286" t="s">
        <v>229</v>
      </c>
      <c r="R121" s="287">
        <v>115</v>
      </c>
      <c r="S121" s="287">
        <v>321</v>
      </c>
      <c r="T121" s="283"/>
      <c r="U121" s="287" t="s">
        <v>76</v>
      </c>
      <c r="V121" s="247" t="str">
        <f>VLOOKUP(E121,Лист4!A$2:G$395,7,FALSE)</f>
        <v>мел+офсет</v>
      </c>
      <c r="W121" s="247">
        <f>IF(ISNA(V121),VLOOKUP(E121,категория!A$42:C$74,3,),6.94+R121*8.333/VLOOKUP(V121,категория!A$42:C$74,2,))</f>
        <v>7.1316590000000009</v>
      </c>
    </row>
    <row r="122" spans="1:23" ht="15.75">
      <c r="A122" s="277">
        <v>43840.138888888891</v>
      </c>
      <c r="B122" s="277">
        <v>43840.142361111109</v>
      </c>
      <c r="C122" s="277">
        <f t="shared" si="6"/>
        <v>3.4722222189884633E-3</v>
      </c>
      <c r="D122" s="278">
        <v>1.0416666666666666E-2</v>
      </c>
      <c r="E122" s="329" t="s">
        <v>170</v>
      </c>
      <c r="F122" s="330"/>
      <c r="G122" s="330"/>
      <c r="H122" s="330"/>
      <c r="I122" s="330"/>
      <c r="J122" s="330"/>
      <c r="K122" s="330"/>
      <c r="L122" s="330"/>
      <c r="M122" s="330"/>
      <c r="N122" s="330"/>
      <c r="O122" s="330"/>
      <c r="P122" s="330"/>
      <c r="Q122" s="330"/>
      <c r="R122" s="330"/>
      <c r="S122" s="330"/>
      <c r="T122" s="330"/>
      <c r="U122" s="331"/>
      <c r="V122" s="247" t="e">
        <f>VLOOKUP(E122,Лист4!A$2:G$395,7,FALSE)</f>
        <v>#N/A</v>
      </c>
      <c r="W122" s="247">
        <f>IF(ISNA(V122),VLOOKUP(E122,категория!A$42:C$74,3,),6.94+R122*8.333/VLOOKUP(V122,категория!A$42:C$74,2,))</f>
        <v>2.085</v>
      </c>
    </row>
    <row r="123" spans="1:23" ht="48">
      <c r="A123" s="277">
        <v>43840.142361111109</v>
      </c>
      <c r="B123" s="277">
        <v>43840.15625</v>
      </c>
      <c r="C123" s="277">
        <f t="shared" si="6"/>
        <v>1.3888888890505768E-2</v>
      </c>
      <c r="D123" s="278">
        <v>1.3888888888888888E-2</v>
      </c>
      <c r="E123" s="279">
        <v>36</v>
      </c>
      <c r="F123" s="280" t="s">
        <v>310</v>
      </c>
      <c r="G123" s="280" t="s">
        <v>426</v>
      </c>
      <c r="H123" s="281" t="s">
        <v>316</v>
      </c>
      <c r="I123" s="282">
        <v>43845</v>
      </c>
      <c r="J123" s="283"/>
      <c r="K123" s="279" t="s">
        <v>235</v>
      </c>
      <c r="L123" s="284"/>
      <c r="M123" s="285"/>
      <c r="N123" s="280" t="s">
        <v>308</v>
      </c>
      <c r="O123" s="279">
        <v>120</v>
      </c>
      <c r="P123" s="279" t="s">
        <v>236</v>
      </c>
      <c r="Q123" s="286" t="s">
        <v>229</v>
      </c>
      <c r="R123" s="287">
        <v>70</v>
      </c>
      <c r="S123" s="287">
        <v>373</v>
      </c>
      <c r="T123" s="283"/>
      <c r="U123" s="287" t="s">
        <v>76</v>
      </c>
      <c r="V123" s="247" t="str">
        <f>VLOOKUP(E123,Лист4!A$2:G$395,7,FALSE)</f>
        <v>мел+офсет</v>
      </c>
      <c r="W123" s="247">
        <f>IF(ISNA(V123),VLOOKUP(E123,категория!A$42:C$74,3,),6.94+R123*8.333/VLOOKUP(V123,категория!A$42:C$74,2,))</f>
        <v>7.0566620000000002</v>
      </c>
    </row>
    <row r="124" spans="1:23" ht="15.75">
      <c r="A124" s="277">
        <v>43840.15625</v>
      </c>
      <c r="B124" s="277">
        <v>43840.159722222219</v>
      </c>
      <c r="C124" s="277">
        <f t="shared" si="6"/>
        <v>3.4722222189884633E-3</v>
      </c>
      <c r="D124" s="278">
        <v>1.0416666666666666E-2</v>
      </c>
      <c r="E124" s="329" t="s">
        <v>170</v>
      </c>
      <c r="F124" s="330"/>
      <c r="G124" s="330"/>
      <c r="H124" s="330"/>
      <c r="I124" s="330"/>
      <c r="J124" s="330"/>
      <c r="K124" s="330"/>
      <c r="L124" s="330"/>
      <c r="M124" s="330"/>
      <c r="N124" s="330"/>
      <c r="O124" s="330"/>
      <c r="P124" s="330"/>
      <c r="Q124" s="330"/>
      <c r="R124" s="330"/>
      <c r="S124" s="330"/>
      <c r="T124" s="330"/>
      <c r="U124" s="331"/>
      <c r="V124" s="247" t="e">
        <f>VLOOKUP(E124,Лист4!A$2:G$395,7,FALSE)</f>
        <v>#N/A</v>
      </c>
      <c r="W124" s="247">
        <f>IF(ISNA(V124),VLOOKUP(E124,категория!A$42:C$74,3,),6.94+R124*8.333/VLOOKUP(V124,категория!A$42:C$74,2,))</f>
        <v>2.085</v>
      </c>
    </row>
    <row r="125" spans="1:23" ht="15.75">
      <c r="A125" s="277">
        <v>43840.159722222219</v>
      </c>
      <c r="B125" s="277">
        <v>43840.1875</v>
      </c>
      <c r="C125" s="277">
        <f t="shared" si="6"/>
        <v>2.7777777781011537E-2</v>
      </c>
      <c r="D125" s="278">
        <v>2.7777777777777776E-2</v>
      </c>
      <c r="E125" s="329" t="s">
        <v>427</v>
      </c>
      <c r="F125" s="330"/>
      <c r="G125" s="330"/>
      <c r="H125" s="330"/>
      <c r="I125" s="330"/>
      <c r="J125" s="330"/>
      <c r="K125" s="330"/>
      <c r="L125" s="330"/>
      <c r="M125" s="330"/>
      <c r="N125" s="330"/>
      <c r="O125" s="330"/>
      <c r="P125" s="330"/>
      <c r="Q125" s="330"/>
      <c r="R125" s="330"/>
      <c r="S125" s="330"/>
      <c r="T125" s="330"/>
      <c r="U125" s="331"/>
      <c r="V125" s="247" t="e">
        <f>VLOOKUP(E125,Лист4!A$2:G$395,7,FALSE)</f>
        <v>#N/A</v>
      </c>
      <c r="W125" s="247">
        <v>5.55</v>
      </c>
    </row>
    <row r="126" spans="1:23" ht="48">
      <c r="A126" s="277">
        <v>43840.1875</v>
      </c>
      <c r="B126" s="277">
        <v>43840.194444444445</v>
      </c>
      <c r="C126" s="277">
        <f t="shared" si="6"/>
        <v>6.9444444452528842E-3</v>
      </c>
      <c r="D126" s="278">
        <v>6.9444444444444441E-3</v>
      </c>
      <c r="E126" s="279">
        <v>36</v>
      </c>
      <c r="F126" s="280" t="s">
        <v>310</v>
      </c>
      <c r="G126" s="280" t="s">
        <v>426</v>
      </c>
      <c r="H126" s="281" t="s">
        <v>317</v>
      </c>
      <c r="I126" s="282">
        <v>43845</v>
      </c>
      <c r="J126" s="283"/>
      <c r="K126" s="279" t="s">
        <v>238</v>
      </c>
      <c r="L126" s="284"/>
      <c r="M126" s="285"/>
      <c r="N126" s="280" t="s">
        <v>308</v>
      </c>
      <c r="O126" s="279">
        <v>120</v>
      </c>
      <c r="P126" s="279" t="s">
        <v>236</v>
      </c>
      <c r="Q126" s="286" t="s">
        <v>229</v>
      </c>
      <c r="R126" s="287">
        <v>70</v>
      </c>
      <c r="S126" s="287">
        <v>373</v>
      </c>
      <c r="T126" s="283"/>
      <c r="U126" s="287" t="s">
        <v>76</v>
      </c>
      <c r="V126" s="247" t="str">
        <f>VLOOKUP(E126,Лист4!A$2:G$395,7,FALSE)</f>
        <v>мел+офсет</v>
      </c>
      <c r="W126" s="247">
        <f>IF(ISNA(V126),VLOOKUP(E126,категория!A$42:C$74,3,),6.94+R126*8.333/VLOOKUP(V126,категория!A$42:C$74,2,))</f>
        <v>7.0566620000000002</v>
      </c>
    </row>
    <row r="127" spans="1:23" ht="15.75">
      <c r="A127" s="277">
        <v>43840.194444444445</v>
      </c>
      <c r="B127" s="277">
        <v>43840.197916666664</v>
      </c>
      <c r="C127" s="277">
        <f t="shared" si="6"/>
        <v>3.4722222189884633E-3</v>
      </c>
      <c r="D127" s="278">
        <v>1.0416666666666666E-2</v>
      </c>
      <c r="E127" s="329" t="s">
        <v>170</v>
      </c>
      <c r="F127" s="330"/>
      <c r="G127" s="330"/>
      <c r="H127" s="330"/>
      <c r="I127" s="330"/>
      <c r="J127" s="330"/>
      <c r="K127" s="330"/>
      <c r="L127" s="330"/>
      <c r="M127" s="330"/>
      <c r="N127" s="330"/>
      <c r="O127" s="330"/>
      <c r="P127" s="330"/>
      <c r="Q127" s="330"/>
      <c r="R127" s="330"/>
      <c r="S127" s="330"/>
      <c r="T127" s="330"/>
      <c r="U127" s="331"/>
      <c r="V127" s="247" t="e">
        <f>VLOOKUP(E127,Лист4!A$2:G$395,7,FALSE)</f>
        <v>#N/A</v>
      </c>
      <c r="W127" s="247">
        <f>IF(ISNA(V127),VLOOKUP(E127,категория!A$42:C$74,3,),6.94+R127*8.333/VLOOKUP(V127,категория!A$42:C$74,2,))</f>
        <v>2.085</v>
      </c>
    </row>
    <row r="128" spans="1:23" ht="15.75">
      <c r="A128" s="277">
        <v>43840.197916666664</v>
      </c>
      <c r="B128" s="277">
        <v>43840.208333333336</v>
      </c>
      <c r="C128" s="277">
        <f t="shared" si="6"/>
        <v>1.0416666671517305E-2</v>
      </c>
      <c r="D128" s="278">
        <v>4.1666666666666664E-2</v>
      </c>
      <c r="E128" s="329" t="s">
        <v>263</v>
      </c>
      <c r="F128" s="330"/>
      <c r="G128" s="330"/>
      <c r="H128" s="330"/>
      <c r="I128" s="330"/>
      <c r="J128" s="330"/>
      <c r="K128" s="330"/>
      <c r="L128" s="330"/>
      <c r="M128" s="330"/>
      <c r="N128" s="330"/>
      <c r="O128" s="330"/>
      <c r="P128" s="330"/>
      <c r="Q128" s="330"/>
      <c r="R128" s="330"/>
      <c r="S128" s="330"/>
      <c r="T128" s="330"/>
      <c r="U128" s="331"/>
      <c r="V128" s="247" t="e">
        <f>VLOOKUP(E128,Лист4!A$2:G$395,7,FALSE)</f>
        <v>#N/A</v>
      </c>
      <c r="W128" s="247">
        <f>8.333*0.25</f>
        <v>2.08325</v>
      </c>
    </row>
    <row r="129" spans="1:23" ht="48">
      <c r="A129" s="336">
        <v>43840.208333333336</v>
      </c>
      <c r="B129" s="336">
        <v>43840.229166666664</v>
      </c>
      <c r="C129" s="277">
        <f t="shared" si="6"/>
        <v>2.0833333328482695E-2</v>
      </c>
      <c r="D129" s="338">
        <v>2.0833333333333332E-2</v>
      </c>
      <c r="E129" s="340">
        <v>30</v>
      </c>
      <c r="F129" s="280" t="s">
        <v>275</v>
      </c>
      <c r="G129" s="280" t="s">
        <v>428</v>
      </c>
      <c r="H129" s="281" t="s">
        <v>226</v>
      </c>
      <c r="I129" s="282">
        <v>43845</v>
      </c>
      <c r="J129" s="283"/>
      <c r="K129" s="279" t="s">
        <v>227</v>
      </c>
      <c r="L129" s="284"/>
      <c r="M129" s="285"/>
      <c r="N129" s="280" t="s">
        <v>48</v>
      </c>
      <c r="O129" s="279">
        <v>350</v>
      </c>
      <c r="P129" s="279" t="s">
        <v>228</v>
      </c>
      <c r="Q129" s="286" t="s">
        <v>229</v>
      </c>
      <c r="R129" s="287">
        <v>340</v>
      </c>
      <c r="S129" s="287">
        <v>493</v>
      </c>
      <c r="T129" s="283"/>
      <c r="U129" s="287" t="s">
        <v>76</v>
      </c>
      <c r="V129" s="247" t="str">
        <f>VLOOKUP(E129,Лист4!A$2:G$395,7,FALSE)</f>
        <v>мел+офсет</v>
      </c>
      <c r="W129" s="247">
        <f>IF(ISNA(V129),VLOOKUP(E129,категория!A$42:C$74,3,),6.94+R129*8.333/VLOOKUP(V129,категория!A$42:C$74,2,))</f>
        <v>7.5066440000000005</v>
      </c>
    </row>
    <row r="130" spans="1:23">
      <c r="A130" s="337"/>
      <c r="B130" s="337"/>
      <c r="C130" s="277">
        <f t="shared" si="6"/>
        <v>0</v>
      </c>
      <c r="D130" s="339"/>
      <c r="E130" s="341"/>
      <c r="F130" s="342" t="s">
        <v>429</v>
      </c>
      <c r="G130" s="343"/>
      <c r="H130" s="343"/>
      <c r="I130" s="343"/>
      <c r="J130" s="343"/>
      <c r="K130" s="343"/>
      <c r="L130" s="343"/>
      <c r="M130" s="343"/>
      <c r="N130" s="343"/>
      <c r="O130" s="343"/>
      <c r="P130" s="343"/>
      <c r="Q130" s="343"/>
      <c r="R130" s="343"/>
      <c r="S130" s="343"/>
      <c r="T130" s="343"/>
      <c r="U130" s="344"/>
      <c r="V130" s="247" t="e">
        <f>VLOOKUP(E130,Лист4!A$2:G$395,7,FALSE)</f>
        <v>#N/A</v>
      </c>
      <c r="W130" s="247">
        <v>0</v>
      </c>
    </row>
    <row r="131" spans="1:23" ht="15.75">
      <c r="A131" s="277">
        <v>43840.229166666664</v>
      </c>
      <c r="B131" s="277">
        <v>43840.232638888891</v>
      </c>
      <c r="C131" s="277">
        <f t="shared" si="6"/>
        <v>3.4722222262644209E-3</v>
      </c>
      <c r="D131" s="278">
        <v>1.0416666666666666E-2</v>
      </c>
      <c r="E131" s="329" t="s">
        <v>170</v>
      </c>
      <c r="F131" s="330"/>
      <c r="G131" s="330"/>
      <c r="H131" s="330"/>
      <c r="I131" s="330"/>
      <c r="J131" s="330"/>
      <c r="K131" s="330"/>
      <c r="L131" s="330"/>
      <c r="M131" s="330"/>
      <c r="N131" s="330"/>
      <c r="O131" s="330"/>
      <c r="P131" s="330"/>
      <c r="Q131" s="330"/>
      <c r="R131" s="330"/>
      <c r="S131" s="330"/>
      <c r="T131" s="330"/>
      <c r="U131" s="331"/>
      <c r="V131" s="247" t="e">
        <f>VLOOKUP(E131,Лист4!A$2:G$395,7,FALSE)</f>
        <v>#N/A</v>
      </c>
      <c r="W131" s="247">
        <f>IF(ISNA(V131),VLOOKUP(E131,категория!A$42:C$74,3,),6.94+R131*8.333/VLOOKUP(V131,категория!A$42:C$74,2,))</f>
        <v>2.085</v>
      </c>
    </row>
    <row r="132" spans="1:23" ht="48">
      <c r="A132" s="277">
        <v>43840.232638888891</v>
      </c>
      <c r="B132" s="277">
        <v>43840.25</v>
      </c>
      <c r="C132" s="277">
        <f t="shared" si="6"/>
        <v>1.7361111109494232E-2</v>
      </c>
      <c r="D132" s="278">
        <v>1.7361111111111112E-2</v>
      </c>
      <c r="E132" s="279">
        <v>23</v>
      </c>
      <c r="F132" s="280" t="s">
        <v>430</v>
      </c>
      <c r="G132" s="280" t="s">
        <v>431</v>
      </c>
      <c r="H132" s="281" t="s">
        <v>251</v>
      </c>
      <c r="I132" s="282">
        <v>43845</v>
      </c>
      <c r="J132" s="283"/>
      <c r="K132" s="279" t="s">
        <v>240</v>
      </c>
      <c r="L132" s="284"/>
      <c r="M132" s="285"/>
      <c r="N132" s="280" t="s">
        <v>41</v>
      </c>
      <c r="O132" s="279">
        <v>350</v>
      </c>
      <c r="P132" s="279" t="s">
        <v>236</v>
      </c>
      <c r="Q132" s="286" t="s">
        <v>229</v>
      </c>
      <c r="R132" s="287">
        <v>637</v>
      </c>
      <c r="S132" s="287">
        <v>957</v>
      </c>
      <c r="T132" s="283" t="s">
        <v>232</v>
      </c>
      <c r="U132" s="287" t="s">
        <v>76</v>
      </c>
      <c r="V132" s="247" t="str">
        <f>VLOOKUP(E132,Лист4!A$2:G$395,7,FALSE)</f>
        <v>мел+офсет</v>
      </c>
      <c r="W132" s="247">
        <f>IF(ISNA(V132),VLOOKUP(E132,категория!A$42:C$74,3,),6.94+R132*8.333/VLOOKUP(V132,категория!A$42:C$74,2,))</f>
        <v>8.0016242000000002</v>
      </c>
    </row>
    <row r="133" spans="1:23" ht="15.75">
      <c r="A133" s="277">
        <v>43840.25</v>
      </c>
      <c r="B133" s="277">
        <v>43840.253472222219</v>
      </c>
      <c r="C133" s="277">
        <f t="shared" si="6"/>
        <v>3.4722222189884633E-3</v>
      </c>
      <c r="D133" s="278">
        <v>3.472222222222222E-3</v>
      </c>
      <c r="E133" s="329" t="s">
        <v>170</v>
      </c>
      <c r="F133" s="330"/>
      <c r="G133" s="330"/>
      <c r="H133" s="330"/>
      <c r="I133" s="330"/>
      <c r="J133" s="330"/>
      <c r="K133" s="330"/>
      <c r="L133" s="330"/>
      <c r="M133" s="330"/>
      <c r="N133" s="330"/>
      <c r="O133" s="330"/>
      <c r="P133" s="330"/>
      <c r="Q133" s="330"/>
      <c r="R133" s="330"/>
      <c r="S133" s="330"/>
      <c r="T133" s="330"/>
      <c r="U133" s="331"/>
      <c r="V133" s="247" t="e">
        <f>VLOOKUP(E133,Лист4!A$2:G$395,7,FALSE)</f>
        <v>#N/A</v>
      </c>
      <c r="W133" s="247">
        <f>IF(ISNA(V133),VLOOKUP(E133,категория!A$42:C$74,3,),6.94+R133*8.333/VLOOKUP(V133,категория!A$42:C$74,2,))</f>
        <v>2.085</v>
      </c>
    </row>
    <row r="134" spans="1:23" ht="15.75">
      <c r="A134" s="277">
        <v>43840.253472222219</v>
      </c>
      <c r="B134" s="277">
        <v>43840.291666666664</v>
      </c>
      <c r="C134" s="277">
        <f t="shared" si="6"/>
        <v>3.8194444445252884E-2</v>
      </c>
      <c r="D134" s="278">
        <v>3.8194444444444441E-2</v>
      </c>
      <c r="E134" s="329" t="s">
        <v>237</v>
      </c>
      <c r="F134" s="330"/>
      <c r="G134" s="330"/>
      <c r="H134" s="330"/>
      <c r="I134" s="330"/>
      <c r="J134" s="330"/>
      <c r="K134" s="330"/>
      <c r="L134" s="330"/>
      <c r="M134" s="330"/>
      <c r="N134" s="330"/>
      <c r="O134" s="330"/>
      <c r="P134" s="330"/>
      <c r="Q134" s="330"/>
      <c r="R134" s="330"/>
      <c r="S134" s="330"/>
      <c r="T134" s="330"/>
      <c r="U134" s="331"/>
      <c r="V134" s="247" t="e">
        <f>VLOOKUP(E134,Лист4!A$2:G$395,7,FALSE)</f>
        <v>#N/A</v>
      </c>
      <c r="W134" s="247">
        <f>IF(ISNA(V134),VLOOKUP(E134,категория!A$42:C$74,3,),6.94+R134*8.333/VLOOKUP(V134,категория!A$42:C$74,2,))</f>
        <v>5.5553333333333335</v>
      </c>
    </row>
    <row r="135" spans="1:23" ht="15.75">
      <c r="A135" s="277">
        <v>43840.291666666664</v>
      </c>
      <c r="B135" s="277">
        <v>43840.333333333336</v>
      </c>
      <c r="C135" s="277">
        <f t="shared" si="6"/>
        <v>4.1666666671517305E-2</v>
      </c>
      <c r="D135" s="278">
        <v>4.1666666666666664E-2</v>
      </c>
      <c r="E135" s="329" t="s">
        <v>10</v>
      </c>
      <c r="F135" s="330"/>
      <c r="G135" s="330"/>
      <c r="H135" s="330"/>
      <c r="I135" s="330"/>
      <c r="J135" s="330"/>
      <c r="K135" s="330"/>
      <c r="L135" s="330"/>
      <c r="M135" s="330"/>
      <c r="N135" s="330"/>
      <c r="O135" s="330"/>
      <c r="P135" s="330"/>
      <c r="Q135" s="330"/>
      <c r="R135" s="330"/>
      <c r="S135" s="330"/>
      <c r="T135" s="330"/>
      <c r="U135" s="331"/>
      <c r="V135" s="247" t="e">
        <f>VLOOKUP(E135,Лист4!A$2:G$395,7,FALSE)</f>
        <v>#N/A</v>
      </c>
      <c r="W135" s="247">
        <f>IF(ISNA(V135),VLOOKUP(E135,категория!A$42:C$74,3,),6.94+R135*8.333/VLOOKUP(V135,категория!A$42:C$74,2,))</f>
        <v>8.3332999999999995</v>
      </c>
    </row>
    <row r="136" spans="1:23" ht="15.75">
      <c r="A136" s="288">
        <v>43840.333333333336</v>
      </c>
      <c r="B136" s="332" t="s">
        <v>432</v>
      </c>
      <c r="C136" s="333"/>
      <c r="D136" s="334"/>
      <c r="E136" s="334"/>
      <c r="F136" s="334"/>
      <c r="G136" s="334"/>
      <c r="H136" s="334"/>
      <c r="I136" s="334"/>
      <c r="J136" s="334"/>
      <c r="K136" s="334"/>
      <c r="L136" s="334"/>
      <c r="M136" s="334"/>
      <c r="N136" s="334"/>
      <c r="O136" s="334"/>
      <c r="P136" s="334"/>
      <c r="Q136" s="334"/>
      <c r="R136" s="334"/>
      <c r="S136" s="334"/>
      <c r="T136" s="334"/>
      <c r="U136" s="335"/>
      <c r="V136" s="247" t="e">
        <f>VLOOKUP(E136,Лист4!A$2:G$395,7,FALSE)</f>
        <v>#N/A</v>
      </c>
      <c r="W136" s="187">
        <f>SUM(W112:W135)</f>
        <v>140.74064186666664</v>
      </c>
    </row>
    <row r="137" spans="1:23" ht="15.75">
      <c r="A137" s="277">
        <v>43840.333333333336</v>
      </c>
      <c r="B137" s="277">
        <v>43840.354166666664</v>
      </c>
      <c r="C137" s="277">
        <f>B137-A137</f>
        <v>2.0833333328482695E-2</v>
      </c>
      <c r="D137" s="278">
        <v>2.0833333333333332E-2</v>
      </c>
      <c r="E137" s="329" t="s">
        <v>22</v>
      </c>
      <c r="F137" s="330"/>
      <c r="G137" s="330"/>
      <c r="H137" s="330"/>
      <c r="I137" s="330"/>
      <c r="J137" s="330"/>
      <c r="K137" s="330"/>
      <c r="L137" s="330"/>
      <c r="M137" s="330"/>
      <c r="N137" s="330"/>
      <c r="O137" s="330"/>
      <c r="P137" s="330"/>
      <c r="Q137" s="330"/>
      <c r="R137" s="330"/>
      <c r="S137" s="330"/>
      <c r="T137" s="330"/>
      <c r="U137" s="331"/>
      <c r="V137" s="247" t="e">
        <f>VLOOKUP(E137,Лист4!A$2:G$395,7,FALSE)</f>
        <v>#N/A</v>
      </c>
      <c r="W137" s="247">
        <f>IF(ISNA(V137),VLOOKUP(E137,категория!A$42:C$74,3,),6.94+R137*8.333/VLOOKUP(V137,категория!A$42:C$74,2,))</f>
        <v>4.17</v>
      </c>
    </row>
    <row r="138" spans="1:23" ht="15.75">
      <c r="A138" s="277">
        <v>43840.354166666664</v>
      </c>
      <c r="B138" s="277">
        <v>43840.402777777781</v>
      </c>
      <c r="C138" s="277">
        <f t="shared" ref="C138:C153" si="7">B138-A138</f>
        <v>4.8611111116770189E-2</v>
      </c>
      <c r="D138" s="278">
        <v>3.472222222222222E-3</v>
      </c>
      <c r="E138" s="329" t="s">
        <v>327</v>
      </c>
      <c r="F138" s="330"/>
      <c r="G138" s="330"/>
      <c r="H138" s="330"/>
      <c r="I138" s="330"/>
      <c r="J138" s="330"/>
      <c r="K138" s="330"/>
      <c r="L138" s="330"/>
      <c r="M138" s="330"/>
      <c r="N138" s="330"/>
      <c r="O138" s="330"/>
      <c r="P138" s="330"/>
      <c r="Q138" s="330"/>
      <c r="R138" s="330"/>
      <c r="S138" s="330"/>
      <c r="T138" s="330"/>
      <c r="U138" s="331"/>
      <c r="V138" s="247" t="e">
        <f>VLOOKUP(E138,Лист4!A$2:G$395,7,FALSE)</f>
        <v>#N/A</v>
      </c>
      <c r="W138" s="247">
        <f>8.333*1.16</f>
        <v>9.6662800000000004</v>
      </c>
    </row>
    <row r="139" spans="1:23" ht="48">
      <c r="A139" s="277">
        <v>43840.402777777781</v>
      </c>
      <c r="B139" s="277">
        <v>43840.420138888891</v>
      </c>
      <c r="C139" s="277">
        <f t="shared" si="7"/>
        <v>1.7361111109494232E-2</v>
      </c>
      <c r="D139" s="278">
        <v>1.7361111111111112E-2</v>
      </c>
      <c r="E139" s="279">
        <v>23</v>
      </c>
      <c r="F139" s="280" t="s">
        <v>430</v>
      </c>
      <c r="G139" s="280" t="s">
        <v>431</v>
      </c>
      <c r="H139" s="281" t="s">
        <v>290</v>
      </c>
      <c r="I139" s="282">
        <v>43845</v>
      </c>
      <c r="J139" s="283"/>
      <c r="K139" s="279" t="s">
        <v>227</v>
      </c>
      <c r="L139" s="284"/>
      <c r="M139" s="285"/>
      <c r="N139" s="280" t="s">
        <v>41</v>
      </c>
      <c r="O139" s="279">
        <v>350</v>
      </c>
      <c r="P139" s="279" t="s">
        <v>236</v>
      </c>
      <c r="Q139" s="286" t="s">
        <v>229</v>
      </c>
      <c r="R139" s="287">
        <v>150</v>
      </c>
      <c r="S139" s="287">
        <v>435</v>
      </c>
      <c r="T139" s="283" t="s">
        <v>232</v>
      </c>
      <c r="U139" s="287" t="s">
        <v>77</v>
      </c>
      <c r="V139" s="247" t="str">
        <f>VLOOKUP(E139,Лист4!A$2:G$395,7,FALSE)</f>
        <v>мел+офсет</v>
      </c>
      <c r="W139" s="247">
        <f>IF(ISNA(V139),VLOOKUP(E139,категория!A$42:C$74,3,),6.94+R139*8.333/VLOOKUP(V139,категория!A$42:C$74,2,))</f>
        <v>7.1899900000000008</v>
      </c>
    </row>
    <row r="140" spans="1:23" ht="15.75">
      <c r="A140" s="277">
        <v>43840.420138888891</v>
      </c>
      <c r="B140" s="277">
        <v>43840.427083333336</v>
      </c>
      <c r="C140" s="277">
        <f t="shared" si="7"/>
        <v>6.9444444452528842E-3</v>
      </c>
      <c r="D140" s="278">
        <v>1.0416666666666666E-2</v>
      </c>
      <c r="E140" s="329" t="s">
        <v>170</v>
      </c>
      <c r="F140" s="330"/>
      <c r="G140" s="330"/>
      <c r="H140" s="330"/>
      <c r="I140" s="330"/>
      <c r="J140" s="330"/>
      <c r="K140" s="330"/>
      <c r="L140" s="330"/>
      <c r="M140" s="330"/>
      <c r="N140" s="330"/>
      <c r="O140" s="330"/>
      <c r="P140" s="330"/>
      <c r="Q140" s="330"/>
      <c r="R140" s="330"/>
      <c r="S140" s="330"/>
      <c r="T140" s="330"/>
      <c r="U140" s="331"/>
      <c r="V140" s="247" t="e">
        <f>VLOOKUP(E140,Лист4!A$2:G$395,7,FALSE)</f>
        <v>#N/A</v>
      </c>
      <c r="W140" s="247">
        <f>IF(ISNA(V140),VLOOKUP(E140,категория!A$42:C$74,3,),6.94+R140*8.333/VLOOKUP(V140,категория!A$42:C$74,2,))</f>
        <v>2.085</v>
      </c>
    </row>
    <row r="141" spans="1:23" ht="15.75">
      <c r="A141" s="277">
        <v>43840.427083333336</v>
      </c>
      <c r="B141" s="277">
        <v>43840.548611111109</v>
      </c>
      <c r="C141" s="277">
        <f t="shared" si="7"/>
        <v>0.12152777777373558</v>
      </c>
      <c r="D141" s="278">
        <v>4.1666666666666664E-2</v>
      </c>
      <c r="E141" s="329" t="s">
        <v>433</v>
      </c>
      <c r="F141" s="330"/>
      <c r="G141" s="330"/>
      <c r="H141" s="330"/>
      <c r="I141" s="330"/>
      <c r="J141" s="330"/>
      <c r="K141" s="330"/>
      <c r="L141" s="330"/>
      <c r="M141" s="330"/>
      <c r="N141" s="330"/>
      <c r="O141" s="330"/>
      <c r="P141" s="330"/>
      <c r="Q141" s="330"/>
      <c r="R141" s="330"/>
      <c r="S141" s="330"/>
      <c r="T141" s="330"/>
      <c r="U141" s="331"/>
      <c r="V141" s="247" t="e">
        <f>VLOOKUP(E141,Лист4!A$2:G$395,7,FALSE)</f>
        <v>#N/A</v>
      </c>
      <c r="W141" s="247">
        <f>8.333*2.55</f>
        <v>21.24915</v>
      </c>
    </row>
    <row r="142" spans="1:23" ht="48">
      <c r="A142" s="277">
        <v>43840.548611111109</v>
      </c>
      <c r="B142" s="277">
        <v>43840.569444444445</v>
      </c>
      <c r="C142" s="277">
        <f t="shared" si="7"/>
        <v>2.0833333335758653E-2</v>
      </c>
      <c r="D142" s="278">
        <v>2.0833333333333332E-2</v>
      </c>
      <c r="E142" s="279">
        <v>23</v>
      </c>
      <c r="F142" s="280" t="s">
        <v>430</v>
      </c>
      <c r="G142" s="280" t="s">
        <v>431</v>
      </c>
      <c r="H142" s="281" t="s">
        <v>291</v>
      </c>
      <c r="I142" s="282">
        <v>43845</v>
      </c>
      <c r="J142" s="283"/>
      <c r="K142" s="279" t="s">
        <v>227</v>
      </c>
      <c r="L142" s="284"/>
      <c r="M142" s="285"/>
      <c r="N142" s="280" t="s">
        <v>41</v>
      </c>
      <c r="O142" s="279">
        <v>350</v>
      </c>
      <c r="P142" s="279" t="s">
        <v>236</v>
      </c>
      <c r="Q142" s="286" t="s">
        <v>229</v>
      </c>
      <c r="R142" s="287">
        <v>500</v>
      </c>
      <c r="S142" s="287">
        <v>522</v>
      </c>
      <c r="T142" s="283" t="s">
        <v>232</v>
      </c>
      <c r="U142" s="287" t="s">
        <v>77</v>
      </c>
      <c r="V142" s="247" t="str">
        <f>VLOOKUP(E142,Лист4!A$2:G$395,7,FALSE)</f>
        <v>мел+офсет</v>
      </c>
      <c r="W142" s="247">
        <f>IF(ISNA(V142),VLOOKUP(E142,категория!A$42:C$74,3,),6.94+R142*8.333/VLOOKUP(V142,категория!A$42:C$74,2,))</f>
        <v>7.7733000000000008</v>
      </c>
    </row>
    <row r="143" spans="1:23" ht="15.75">
      <c r="A143" s="277">
        <v>43840.569444444445</v>
      </c>
      <c r="B143" s="277">
        <v>43840.576388888891</v>
      </c>
      <c r="C143" s="277">
        <f t="shared" si="7"/>
        <v>6.9444444452528842E-3</v>
      </c>
      <c r="D143" s="278">
        <v>1.0416666666666666E-2</v>
      </c>
      <c r="E143" s="329" t="s">
        <v>170</v>
      </c>
      <c r="F143" s="330"/>
      <c r="G143" s="330"/>
      <c r="H143" s="330"/>
      <c r="I143" s="330"/>
      <c r="J143" s="330"/>
      <c r="K143" s="330"/>
      <c r="L143" s="330"/>
      <c r="M143" s="330"/>
      <c r="N143" s="330"/>
      <c r="O143" s="330"/>
      <c r="P143" s="330"/>
      <c r="Q143" s="330"/>
      <c r="R143" s="330"/>
      <c r="S143" s="330"/>
      <c r="T143" s="330"/>
      <c r="U143" s="331"/>
      <c r="V143" s="247" t="e">
        <f>VLOOKUP(E143,Лист4!A$2:G$395,7,FALSE)</f>
        <v>#N/A</v>
      </c>
      <c r="W143" s="247">
        <f>IF(ISNA(V143),VLOOKUP(E143,категория!A$42:C$74,3,),6.94+R143*8.333/VLOOKUP(V143,категория!A$42:C$74,2,))</f>
        <v>2.085</v>
      </c>
    </row>
    <row r="144" spans="1:23" ht="15.75">
      <c r="A144" s="277">
        <v>43840.576388888891</v>
      </c>
      <c r="B144" s="277">
        <v>43840.635416666664</v>
      </c>
      <c r="C144" s="277">
        <f t="shared" si="7"/>
        <v>5.9027777773735579E-2</v>
      </c>
      <c r="D144" s="278">
        <v>4.1666666666666664E-2</v>
      </c>
      <c r="E144" s="329" t="s">
        <v>28</v>
      </c>
      <c r="F144" s="330"/>
      <c r="G144" s="330"/>
      <c r="H144" s="330"/>
      <c r="I144" s="330"/>
      <c r="J144" s="330"/>
      <c r="K144" s="330"/>
      <c r="L144" s="330"/>
      <c r="M144" s="330"/>
      <c r="N144" s="330"/>
      <c r="O144" s="330"/>
      <c r="P144" s="330"/>
      <c r="Q144" s="330"/>
      <c r="R144" s="330"/>
      <c r="S144" s="330"/>
      <c r="T144" s="330"/>
      <c r="U144" s="331"/>
      <c r="V144" s="247" t="e">
        <f>VLOOKUP(E144,Лист4!A$2:G$395,7,FALSE)</f>
        <v>#N/A</v>
      </c>
      <c r="W144" s="247">
        <f>IF(ISNA(V144),VLOOKUP(E144,категория!A$42:C$74,3,),6.94+R144*8.333/VLOOKUP(V144,категория!A$42:C$74,2,))</f>
        <v>8.3332999999999995</v>
      </c>
    </row>
    <row r="145" spans="1:23" ht="15.75">
      <c r="A145" s="277">
        <v>43840.635416666664</v>
      </c>
      <c r="B145" s="277">
        <v>43840.65625</v>
      </c>
      <c r="C145" s="277">
        <f t="shared" si="7"/>
        <v>2.0833333335758653E-2</v>
      </c>
      <c r="D145" s="278">
        <v>3.472222222222222E-3</v>
      </c>
      <c r="E145" s="329" t="s">
        <v>24</v>
      </c>
      <c r="F145" s="330"/>
      <c r="G145" s="330"/>
      <c r="H145" s="330"/>
      <c r="I145" s="330"/>
      <c r="J145" s="330"/>
      <c r="K145" s="330"/>
      <c r="L145" s="330"/>
      <c r="M145" s="330"/>
      <c r="N145" s="330"/>
      <c r="O145" s="330"/>
      <c r="P145" s="330"/>
      <c r="Q145" s="330"/>
      <c r="R145" s="330"/>
      <c r="S145" s="330"/>
      <c r="T145" s="330"/>
      <c r="U145" s="331"/>
      <c r="V145" s="247" t="e">
        <f>VLOOKUP(E145,Лист4!A$2:G$395,7,FALSE)</f>
        <v>#N/A</v>
      </c>
      <c r="W145" s="247">
        <f>IF(ISNA(V145),VLOOKUP(E145,категория!A$42:C$74,3,),6.94+R145*8.333/VLOOKUP(V145,категория!A$42:C$74,2,))</f>
        <v>3.47</v>
      </c>
    </row>
    <row r="146" spans="1:23" ht="60">
      <c r="A146" s="277">
        <v>43840.65625</v>
      </c>
      <c r="B146" s="277">
        <v>43840.690972222219</v>
      </c>
      <c r="C146" s="277">
        <f t="shared" si="7"/>
        <v>3.4722222218988463E-2</v>
      </c>
      <c r="D146" s="278">
        <v>3.4722222222222224E-2</v>
      </c>
      <c r="E146" s="279">
        <v>3533</v>
      </c>
      <c r="F146" s="280" t="s">
        <v>257</v>
      </c>
      <c r="G146" s="280" t="s">
        <v>434</v>
      </c>
      <c r="H146" s="281" t="s">
        <v>226</v>
      </c>
      <c r="I146" s="282">
        <v>43840</v>
      </c>
      <c r="J146" s="283"/>
      <c r="K146" s="279" t="s">
        <v>227</v>
      </c>
      <c r="L146" s="284"/>
      <c r="M146" s="285"/>
      <c r="N146" s="280" t="s">
        <v>35</v>
      </c>
      <c r="O146" s="279">
        <v>230</v>
      </c>
      <c r="P146" s="279" t="s">
        <v>228</v>
      </c>
      <c r="Q146" s="286" t="s">
        <v>229</v>
      </c>
      <c r="R146" s="287">
        <v>1040</v>
      </c>
      <c r="S146" s="287">
        <v>1480</v>
      </c>
      <c r="T146" s="283" t="s">
        <v>232</v>
      </c>
      <c r="U146" s="287" t="s">
        <v>77</v>
      </c>
      <c r="V146" s="247" t="str">
        <f>VLOOKUP(E146,Лист4!A$2:G$395,7,FALSE)</f>
        <v>картон до 250</v>
      </c>
      <c r="W146" s="247">
        <f>IF(ISNA(V146),VLOOKUP(E146,категория!A$42:C$74,3,),6.94+R146*8.333/VLOOKUP(V146,категория!A$42:C$74,2,))</f>
        <v>9.5661575757575754</v>
      </c>
    </row>
    <row r="147" spans="1:23" ht="15.75">
      <c r="A147" s="277">
        <v>43840.690972222219</v>
      </c>
      <c r="B147" s="277">
        <v>43840.697916666664</v>
      </c>
      <c r="C147" s="277">
        <f t="shared" si="7"/>
        <v>6.9444444452528842E-3</v>
      </c>
      <c r="D147" s="278">
        <v>1.0416666666666666E-2</v>
      </c>
      <c r="E147" s="329" t="s">
        <v>170</v>
      </c>
      <c r="F147" s="330"/>
      <c r="G147" s="330"/>
      <c r="H147" s="330"/>
      <c r="I147" s="330"/>
      <c r="J147" s="330"/>
      <c r="K147" s="330"/>
      <c r="L147" s="330"/>
      <c r="M147" s="330"/>
      <c r="N147" s="330"/>
      <c r="O147" s="330"/>
      <c r="P147" s="330"/>
      <c r="Q147" s="330"/>
      <c r="R147" s="330"/>
      <c r="S147" s="330"/>
      <c r="T147" s="330"/>
      <c r="U147" s="331"/>
      <c r="V147" s="247" t="e">
        <f>VLOOKUP(E147,Лист4!A$2:G$395,7,FALSE)</f>
        <v>#N/A</v>
      </c>
      <c r="W147" s="247">
        <f>IF(ISNA(V147),VLOOKUP(E147,категория!A$42:C$74,3,),6.94+R147*8.333/VLOOKUP(V147,категория!A$42:C$74,2,))</f>
        <v>2.085</v>
      </c>
    </row>
    <row r="148" spans="1:23" ht="15.75">
      <c r="A148" s="277">
        <v>43840.697916666664</v>
      </c>
      <c r="B148" s="277">
        <v>43840.739583333336</v>
      </c>
      <c r="C148" s="277">
        <f t="shared" si="7"/>
        <v>4.1666666671517305E-2</v>
      </c>
      <c r="D148" s="278">
        <v>3.4722222222222224E-2</v>
      </c>
      <c r="E148" s="329" t="s">
        <v>16</v>
      </c>
      <c r="F148" s="330"/>
      <c r="G148" s="330"/>
      <c r="H148" s="330"/>
      <c r="I148" s="330"/>
      <c r="J148" s="330"/>
      <c r="K148" s="330"/>
      <c r="L148" s="330"/>
      <c r="M148" s="330"/>
      <c r="N148" s="330"/>
      <c r="O148" s="330"/>
      <c r="P148" s="330"/>
      <c r="Q148" s="330"/>
      <c r="R148" s="330"/>
      <c r="S148" s="330"/>
      <c r="T148" s="330"/>
      <c r="U148" s="331"/>
      <c r="V148" s="247" t="e">
        <f>VLOOKUP(E148,Лист4!A$2:G$395,7,FALSE)</f>
        <v>#N/A</v>
      </c>
      <c r="W148" s="247">
        <f>IF(ISNA(V148),VLOOKUP(E148,категория!A$42:C$74,3,),6.94+R148*8.333/VLOOKUP(V148,категория!A$42:C$74,2,))</f>
        <v>8.3330000000000002</v>
      </c>
    </row>
    <row r="149" spans="1:23" ht="15.75">
      <c r="A149" s="277">
        <v>43840.739583333336</v>
      </c>
      <c r="B149" s="277">
        <v>43840.75</v>
      </c>
      <c r="C149" s="277">
        <f t="shared" si="7"/>
        <v>1.0416666664241347E-2</v>
      </c>
      <c r="D149" s="278">
        <v>2.0833333333333332E-2</v>
      </c>
      <c r="E149" s="329" t="s">
        <v>8</v>
      </c>
      <c r="F149" s="330"/>
      <c r="G149" s="330"/>
      <c r="H149" s="330"/>
      <c r="I149" s="330"/>
      <c r="J149" s="330"/>
      <c r="K149" s="330"/>
      <c r="L149" s="330"/>
      <c r="M149" s="330"/>
      <c r="N149" s="330"/>
      <c r="O149" s="330"/>
      <c r="P149" s="330"/>
      <c r="Q149" s="330"/>
      <c r="R149" s="330"/>
      <c r="S149" s="330"/>
      <c r="T149" s="330"/>
      <c r="U149" s="331"/>
      <c r="V149" s="247" t="e">
        <f>VLOOKUP(E149,Лист4!A$2:G$395,7,FALSE)</f>
        <v>#N/A</v>
      </c>
      <c r="W149" s="247">
        <f>IF(ISNA(V149),VLOOKUP(E149,категория!A$42:C$74,3,),6.94+R149*8.333/VLOOKUP(V149,категория!A$42:C$74,2,))</f>
        <v>4.17</v>
      </c>
    </row>
    <row r="150" spans="1:23" ht="15.75">
      <c r="A150" s="277">
        <v>43840.75</v>
      </c>
      <c r="B150" s="277">
        <v>43840.763888888891</v>
      </c>
      <c r="C150" s="277">
        <f t="shared" si="7"/>
        <v>1.3888888890505768E-2</v>
      </c>
      <c r="D150" s="278">
        <v>2.0833333333333332E-2</v>
      </c>
      <c r="E150" s="329" t="s">
        <v>2</v>
      </c>
      <c r="F150" s="330"/>
      <c r="G150" s="330"/>
      <c r="H150" s="330"/>
      <c r="I150" s="330"/>
      <c r="J150" s="330"/>
      <c r="K150" s="330"/>
      <c r="L150" s="330"/>
      <c r="M150" s="330"/>
      <c r="N150" s="330"/>
      <c r="O150" s="330"/>
      <c r="P150" s="330"/>
      <c r="Q150" s="330"/>
      <c r="R150" s="330"/>
      <c r="S150" s="330"/>
      <c r="T150" s="330"/>
      <c r="U150" s="331"/>
      <c r="V150" s="247" t="e">
        <f>VLOOKUP(E150,Лист4!A$2:G$395,7,FALSE)</f>
        <v>#N/A</v>
      </c>
      <c r="W150" s="247">
        <f>IF(ISNA(V150),VLOOKUP(E150,категория!A$42:C$74,3,),6.94+R150*8.333/VLOOKUP(V150,категория!A$42:C$74,2,))</f>
        <v>4.17</v>
      </c>
    </row>
    <row r="151" spans="1:23" ht="60">
      <c r="A151" s="277">
        <v>43840.763888888891</v>
      </c>
      <c r="B151" s="277">
        <v>43840.798611111109</v>
      </c>
      <c r="C151" s="277">
        <f t="shared" si="7"/>
        <v>3.4722222218988463E-2</v>
      </c>
      <c r="D151" s="278">
        <v>3.4722222222222224E-2</v>
      </c>
      <c r="E151" s="279">
        <v>3533</v>
      </c>
      <c r="F151" s="280" t="s">
        <v>257</v>
      </c>
      <c r="G151" s="280" t="s">
        <v>434</v>
      </c>
      <c r="H151" s="281" t="s">
        <v>273</v>
      </c>
      <c r="I151" s="282">
        <v>43840</v>
      </c>
      <c r="J151" s="283"/>
      <c r="K151" s="279" t="s">
        <v>267</v>
      </c>
      <c r="L151" s="284" t="s">
        <v>232</v>
      </c>
      <c r="M151" s="285"/>
      <c r="N151" s="280" t="s">
        <v>35</v>
      </c>
      <c r="O151" s="279">
        <v>230</v>
      </c>
      <c r="P151" s="279" t="s">
        <v>228</v>
      </c>
      <c r="Q151" s="286" t="s">
        <v>241</v>
      </c>
      <c r="R151" s="287">
        <v>1350</v>
      </c>
      <c r="S151" s="287">
        <v>1220</v>
      </c>
      <c r="T151" s="283" t="s">
        <v>232</v>
      </c>
      <c r="U151" s="287" t="s">
        <v>77</v>
      </c>
      <c r="V151" s="247" t="str">
        <f>VLOOKUP(E151,Лист4!A$2:G$395,7,FALSE)</f>
        <v>картон до 250</v>
      </c>
      <c r="W151" s="247">
        <f>IF(ISNA(V151),VLOOKUP(E151,категория!A$42:C$74,3,),6.94/2+R151*8.333/VLOOKUP(V151,категория!A$42:C$74,2,))</f>
        <v>6.8789545454545458</v>
      </c>
    </row>
    <row r="152" spans="1:23" ht="15.75">
      <c r="A152" s="277">
        <v>43840.798611111109</v>
      </c>
      <c r="B152" s="277">
        <v>43840.805555555555</v>
      </c>
      <c r="C152" s="277">
        <f t="shared" si="7"/>
        <v>6.9444444452528842E-3</v>
      </c>
      <c r="D152" s="278">
        <v>6.9444444444444441E-3</v>
      </c>
      <c r="E152" s="329" t="s">
        <v>170</v>
      </c>
      <c r="F152" s="330"/>
      <c r="G152" s="330"/>
      <c r="H152" s="330"/>
      <c r="I152" s="330"/>
      <c r="J152" s="330"/>
      <c r="K152" s="330"/>
      <c r="L152" s="330"/>
      <c r="M152" s="330"/>
      <c r="N152" s="330"/>
      <c r="O152" s="330"/>
      <c r="P152" s="330"/>
      <c r="Q152" s="330"/>
      <c r="R152" s="330"/>
      <c r="S152" s="330"/>
      <c r="T152" s="330"/>
      <c r="U152" s="331"/>
      <c r="V152" s="247" t="e">
        <f>VLOOKUP(E152,Лист4!A$2:G$395,7,FALSE)</f>
        <v>#N/A</v>
      </c>
      <c r="W152" s="247">
        <f>IF(ISNA(V152),VLOOKUP(E152,категория!A$42:C$74,3,),6.94+R152*8.333/VLOOKUP(V152,категория!A$42:C$74,2,))</f>
        <v>2.085</v>
      </c>
    </row>
    <row r="153" spans="1:23" ht="15.75">
      <c r="A153" s="277">
        <v>43840.805555555555</v>
      </c>
      <c r="B153" s="277">
        <v>43840.833333333336</v>
      </c>
      <c r="C153" s="277">
        <f t="shared" si="7"/>
        <v>2.7777777781011537E-2</v>
      </c>
      <c r="D153" s="278">
        <v>4.1666666666666664E-2</v>
      </c>
      <c r="E153" s="329" t="s">
        <v>7</v>
      </c>
      <c r="F153" s="330"/>
      <c r="G153" s="330"/>
      <c r="H153" s="330"/>
      <c r="I153" s="330"/>
      <c r="J153" s="330"/>
      <c r="K153" s="330"/>
      <c r="L153" s="330"/>
      <c r="M153" s="330"/>
      <c r="N153" s="330"/>
      <c r="O153" s="330"/>
      <c r="P153" s="330"/>
      <c r="Q153" s="330"/>
      <c r="R153" s="330"/>
      <c r="S153" s="330"/>
      <c r="T153" s="330"/>
      <c r="U153" s="331"/>
      <c r="V153" s="247" t="e">
        <f>VLOOKUP(E153,Лист4!A$2:G$395,7,FALSE)</f>
        <v>#N/A</v>
      </c>
      <c r="W153" s="247">
        <f>IF(ISNA(V153),VLOOKUP(E153,категория!A$42:C$74,3,),6.94+R153*8.333/VLOOKUP(V153,категория!A$42:C$74,2,))*0.667</f>
        <v>5.5583111000000001</v>
      </c>
    </row>
    <row r="154" spans="1:23" ht="15.75">
      <c r="A154" s="288">
        <v>43840.833333333336</v>
      </c>
      <c r="B154" s="332" t="s">
        <v>435</v>
      </c>
      <c r="C154" s="333"/>
      <c r="D154" s="334"/>
      <c r="E154" s="334"/>
      <c r="F154" s="334"/>
      <c r="G154" s="334"/>
      <c r="H154" s="334"/>
      <c r="I154" s="334"/>
      <c r="J154" s="334"/>
      <c r="K154" s="334"/>
      <c r="L154" s="334"/>
      <c r="M154" s="334"/>
      <c r="N154" s="334"/>
      <c r="O154" s="334"/>
      <c r="P154" s="334"/>
      <c r="Q154" s="334"/>
      <c r="R154" s="334"/>
      <c r="S154" s="334"/>
      <c r="T154" s="334"/>
      <c r="U154" s="335"/>
      <c r="V154" s="247" t="e">
        <f>VLOOKUP(E154,Лист4!A$2:G$395,7,FALSE)</f>
        <v>#N/A</v>
      </c>
      <c r="W154" s="187">
        <f>SUM(W137:W153)</f>
        <v>108.86844322121212</v>
      </c>
    </row>
    <row r="155" spans="1:23" ht="15.75">
      <c r="A155" s="277">
        <v>43840.833333333336</v>
      </c>
      <c r="B155" s="277">
        <v>43840.854166666664</v>
      </c>
      <c r="C155" s="277">
        <f>B155-A155</f>
        <v>2.0833333328482695E-2</v>
      </c>
      <c r="D155" s="278">
        <v>2.0833333333333332E-2</v>
      </c>
      <c r="E155" s="329" t="s">
        <v>22</v>
      </c>
      <c r="F155" s="330"/>
      <c r="G155" s="330"/>
      <c r="H155" s="330"/>
      <c r="I155" s="330"/>
      <c r="J155" s="330"/>
      <c r="K155" s="330"/>
      <c r="L155" s="330"/>
      <c r="M155" s="330"/>
      <c r="N155" s="330"/>
      <c r="O155" s="330"/>
      <c r="P155" s="330"/>
      <c r="Q155" s="330"/>
      <c r="R155" s="330"/>
      <c r="S155" s="330"/>
      <c r="T155" s="330"/>
      <c r="U155" s="331"/>
      <c r="V155" s="247" t="e">
        <f>VLOOKUP(E155,Лист4!A$2:G$395,7,FALSE)</f>
        <v>#N/A</v>
      </c>
      <c r="W155" s="247">
        <f>IF(ISNA(V155),VLOOKUP(E155,категория!A$42:C$74,3,),6.94+R155*8.333/VLOOKUP(V155,категория!A$42:C$74,2,))</f>
        <v>4.17</v>
      </c>
    </row>
    <row r="156" spans="1:23" ht="15.75">
      <c r="A156" s="277">
        <v>43840.854166666664</v>
      </c>
      <c r="B156" s="277">
        <v>43840.888888888891</v>
      </c>
      <c r="C156" s="277">
        <f t="shared" ref="C156:C167" si="8">B156-A156</f>
        <v>3.4722222226264421E-2</v>
      </c>
      <c r="D156" s="278">
        <v>3.4722222222222224E-2</v>
      </c>
      <c r="E156" s="329" t="s">
        <v>16</v>
      </c>
      <c r="F156" s="330"/>
      <c r="G156" s="330"/>
      <c r="H156" s="330"/>
      <c r="I156" s="330"/>
      <c r="J156" s="330"/>
      <c r="K156" s="330"/>
      <c r="L156" s="330"/>
      <c r="M156" s="330"/>
      <c r="N156" s="330"/>
      <c r="O156" s="330"/>
      <c r="P156" s="330"/>
      <c r="Q156" s="330"/>
      <c r="R156" s="330"/>
      <c r="S156" s="330"/>
      <c r="T156" s="330"/>
      <c r="U156" s="331"/>
      <c r="V156" s="247" t="e">
        <f>VLOOKUP(E156,Лист4!A$2:G$395,7,FALSE)</f>
        <v>#N/A</v>
      </c>
      <c r="W156" s="247">
        <f>IF(ISNA(V156),VLOOKUP(E156,категория!A$42:C$74,3,),6.94+R156*8.333/VLOOKUP(V156,категория!A$42:C$74,2,))</f>
        <v>8.3330000000000002</v>
      </c>
    </row>
    <row r="157" spans="1:23" ht="15.75">
      <c r="A157" s="277">
        <v>43840.888888888891</v>
      </c>
      <c r="B157" s="277">
        <v>43840.902777777781</v>
      </c>
      <c r="C157" s="277">
        <f t="shared" si="8"/>
        <v>1.3888888890505768E-2</v>
      </c>
      <c r="D157" s="278">
        <v>1.7361111111111112E-2</v>
      </c>
      <c r="E157" s="329" t="s">
        <v>3</v>
      </c>
      <c r="F157" s="330"/>
      <c r="G157" s="330"/>
      <c r="H157" s="330"/>
      <c r="I157" s="330"/>
      <c r="J157" s="330"/>
      <c r="K157" s="330"/>
      <c r="L157" s="330"/>
      <c r="M157" s="330"/>
      <c r="N157" s="330"/>
      <c r="O157" s="330"/>
      <c r="P157" s="330"/>
      <c r="Q157" s="330"/>
      <c r="R157" s="330"/>
      <c r="S157" s="330"/>
      <c r="T157" s="330"/>
      <c r="U157" s="331"/>
      <c r="V157" s="247" t="e">
        <f>VLOOKUP(E157,Лист4!A$2:G$395,7,FALSE)</f>
        <v>#N/A</v>
      </c>
      <c r="W157" s="247">
        <f>IF(ISNA(V157),VLOOKUP(E157,категория!A$42:C$74,3,),6.94+R157*8.333/VLOOKUP(V157,категория!A$42:C$74,2,))</f>
        <v>4.17</v>
      </c>
    </row>
    <row r="158" spans="1:23" ht="15.75">
      <c r="A158" s="277">
        <v>43840.902777777781</v>
      </c>
      <c r="B158" s="277">
        <v>43840.916666666664</v>
      </c>
      <c r="C158" s="277">
        <f t="shared" si="8"/>
        <v>1.3888888883229811E-2</v>
      </c>
      <c r="D158" s="278">
        <v>2.0833333333333332E-2</v>
      </c>
      <c r="E158" s="329" t="s">
        <v>2</v>
      </c>
      <c r="F158" s="330"/>
      <c r="G158" s="330"/>
      <c r="H158" s="330"/>
      <c r="I158" s="330"/>
      <c r="J158" s="330"/>
      <c r="K158" s="330"/>
      <c r="L158" s="330"/>
      <c r="M158" s="330"/>
      <c r="N158" s="330"/>
      <c r="O158" s="330"/>
      <c r="P158" s="330"/>
      <c r="Q158" s="330"/>
      <c r="R158" s="330"/>
      <c r="S158" s="330"/>
      <c r="T158" s="330"/>
      <c r="U158" s="331"/>
      <c r="V158" s="247" t="e">
        <f>VLOOKUP(E158,Лист4!A$2:G$395,7,FALSE)</f>
        <v>#N/A</v>
      </c>
      <c r="W158" s="247">
        <f>IF(ISNA(V158),VLOOKUP(E158,категория!A$42:C$74,3,),6.94+R158*8.333/VLOOKUP(V158,категория!A$42:C$74,2,))</f>
        <v>4.17</v>
      </c>
    </row>
    <row r="159" spans="1:23" ht="15.75">
      <c r="A159" s="277">
        <v>43840.916666666664</v>
      </c>
      <c r="B159" s="277">
        <v>43840.9375</v>
      </c>
      <c r="C159" s="277">
        <f t="shared" si="8"/>
        <v>2.0833333335758653E-2</v>
      </c>
      <c r="D159" s="278">
        <v>2.0833333333333332E-2</v>
      </c>
      <c r="E159" s="329" t="s">
        <v>8</v>
      </c>
      <c r="F159" s="330"/>
      <c r="G159" s="330"/>
      <c r="H159" s="330"/>
      <c r="I159" s="330"/>
      <c r="J159" s="330"/>
      <c r="K159" s="330"/>
      <c r="L159" s="330"/>
      <c r="M159" s="330"/>
      <c r="N159" s="330"/>
      <c r="O159" s="330"/>
      <c r="P159" s="330"/>
      <c r="Q159" s="330"/>
      <c r="R159" s="330"/>
      <c r="S159" s="330"/>
      <c r="T159" s="330"/>
      <c r="U159" s="331"/>
      <c r="V159" s="247" t="e">
        <f>VLOOKUP(E159,Лист4!A$2:G$395,7,FALSE)</f>
        <v>#N/A</v>
      </c>
      <c r="W159" s="247">
        <f>IF(ISNA(V159),VLOOKUP(E159,категория!A$42:C$74,3,),6.94+R159*8.333/VLOOKUP(V159,категория!A$42:C$74,2,))</f>
        <v>4.17</v>
      </c>
    </row>
    <row r="160" spans="1:23" ht="36">
      <c r="A160" s="277">
        <v>43840.9375</v>
      </c>
      <c r="B160" s="277">
        <v>43840.965277777781</v>
      </c>
      <c r="C160" s="277">
        <f t="shared" si="8"/>
        <v>2.7777777781011537E-2</v>
      </c>
      <c r="D160" s="278">
        <v>2.7777777777777776E-2</v>
      </c>
      <c r="E160" s="279">
        <v>35</v>
      </c>
      <c r="F160" s="280" t="s">
        <v>436</v>
      </c>
      <c r="G160" s="280" t="s">
        <v>437</v>
      </c>
      <c r="H160" s="281" t="s">
        <v>226</v>
      </c>
      <c r="I160" s="282">
        <v>43850</v>
      </c>
      <c r="J160" s="283"/>
      <c r="K160" s="279" t="s">
        <v>227</v>
      </c>
      <c r="L160" s="284"/>
      <c r="M160" s="285"/>
      <c r="N160" s="280" t="s">
        <v>35</v>
      </c>
      <c r="O160" s="279">
        <v>250</v>
      </c>
      <c r="P160" s="279" t="s">
        <v>228</v>
      </c>
      <c r="Q160" s="286" t="s">
        <v>229</v>
      </c>
      <c r="R160" s="287">
        <v>180</v>
      </c>
      <c r="S160" s="287">
        <v>372</v>
      </c>
      <c r="T160" s="283" t="s">
        <v>232</v>
      </c>
      <c r="U160" s="287" t="s">
        <v>230</v>
      </c>
      <c r="V160" s="247" t="str">
        <f>VLOOKUP(E160,Лист4!A$2:G$395,7,FALSE)</f>
        <v>картон до 250</v>
      </c>
      <c r="W160" s="247">
        <f>IF(ISNA(V160),VLOOKUP(E160,категория!A$42:C$74,3,),6.94+R160*8.333/VLOOKUP(V160,категория!A$42:C$74,2,))</f>
        <v>7.3945272727272728</v>
      </c>
    </row>
    <row r="161" spans="1:23" ht="15.75">
      <c r="A161" s="277">
        <v>43840.965277777781</v>
      </c>
      <c r="B161" s="277">
        <v>43840.972222222219</v>
      </c>
      <c r="C161" s="277">
        <f t="shared" si="8"/>
        <v>6.9444444379769266E-3</v>
      </c>
      <c r="D161" s="278">
        <v>1.0416666666666666E-2</v>
      </c>
      <c r="E161" s="329" t="s">
        <v>170</v>
      </c>
      <c r="F161" s="330"/>
      <c r="G161" s="330"/>
      <c r="H161" s="330"/>
      <c r="I161" s="330"/>
      <c r="J161" s="330"/>
      <c r="K161" s="330"/>
      <c r="L161" s="330"/>
      <c r="M161" s="330"/>
      <c r="N161" s="330"/>
      <c r="O161" s="330"/>
      <c r="P161" s="330"/>
      <c r="Q161" s="330"/>
      <c r="R161" s="330"/>
      <c r="S161" s="330"/>
      <c r="T161" s="330"/>
      <c r="U161" s="331"/>
      <c r="V161" s="247" t="e">
        <f>VLOOKUP(E161,Лист4!A$2:G$395,7,FALSE)</f>
        <v>#N/A</v>
      </c>
      <c r="W161" s="247">
        <f>IF(ISNA(V161),VLOOKUP(E161,категория!A$42:C$74,3,),6.94+R161*8.333/VLOOKUP(V161,категория!A$42:C$74,2,))</f>
        <v>2.085</v>
      </c>
    </row>
    <row r="162" spans="1:23" ht="15.75">
      <c r="A162" s="277">
        <v>43840.972222222219</v>
      </c>
      <c r="B162" s="277">
        <v>43840.993055555555</v>
      </c>
      <c r="C162" s="277">
        <f t="shared" si="8"/>
        <v>2.0833333335758653E-2</v>
      </c>
      <c r="D162" s="278">
        <v>4.1666666666666664E-2</v>
      </c>
      <c r="E162" s="329" t="s">
        <v>231</v>
      </c>
      <c r="F162" s="330"/>
      <c r="G162" s="330"/>
      <c r="H162" s="330"/>
      <c r="I162" s="330"/>
      <c r="J162" s="330"/>
      <c r="K162" s="330"/>
      <c r="L162" s="330"/>
      <c r="M162" s="330"/>
      <c r="N162" s="330"/>
      <c r="O162" s="330"/>
      <c r="P162" s="330"/>
      <c r="Q162" s="330"/>
      <c r="R162" s="330"/>
      <c r="S162" s="330"/>
      <c r="T162" s="330"/>
      <c r="U162" s="331"/>
      <c r="V162" s="247" t="e">
        <f>VLOOKUP(E162,Лист4!A$2:G$395,7,FALSE)</f>
        <v>#N/A</v>
      </c>
      <c r="W162" s="247">
        <f>8.333*0.5</f>
        <v>4.1665000000000001</v>
      </c>
    </row>
    <row r="163" spans="1:23" ht="15.75">
      <c r="A163" s="277">
        <v>43840.993055555555</v>
      </c>
      <c r="B163" s="277">
        <v>43841.020833333336</v>
      </c>
      <c r="C163" s="277">
        <f t="shared" si="8"/>
        <v>2.7777777781011537E-2</v>
      </c>
      <c r="D163" s="278">
        <v>3.472222222222222E-3</v>
      </c>
      <c r="E163" s="329" t="s">
        <v>327</v>
      </c>
      <c r="F163" s="330"/>
      <c r="G163" s="330"/>
      <c r="H163" s="330"/>
      <c r="I163" s="330"/>
      <c r="J163" s="330"/>
      <c r="K163" s="330"/>
      <c r="L163" s="330"/>
      <c r="M163" s="330"/>
      <c r="N163" s="330"/>
      <c r="O163" s="330"/>
      <c r="P163" s="330"/>
      <c r="Q163" s="330"/>
      <c r="R163" s="330"/>
      <c r="S163" s="330"/>
      <c r="T163" s="330"/>
      <c r="U163" s="331"/>
      <c r="V163" s="247" t="e">
        <f>VLOOKUP(E163,Лист4!A$2:G$395,7,FALSE)</f>
        <v>#N/A</v>
      </c>
      <c r="W163" s="247">
        <f>8.33*0.6667</f>
        <v>5.5536110000000001</v>
      </c>
    </row>
    <row r="164" spans="1:23" ht="168">
      <c r="A164" s="277">
        <v>43841.020833333336</v>
      </c>
      <c r="B164" s="277">
        <v>43841.048611111109</v>
      </c>
      <c r="C164" s="277">
        <f t="shared" si="8"/>
        <v>2.7777777773735579E-2</v>
      </c>
      <c r="D164" s="278">
        <v>2.7777777777777776E-2</v>
      </c>
      <c r="E164" s="279">
        <v>31</v>
      </c>
      <c r="F164" s="280" t="s">
        <v>279</v>
      </c>
      <c r="G164" s="280" t="s">
        <v>438</v>
      </c>
      <c r="H164" s="281" t="s">
        <v>226</v>
      </c>
      <c r="I164" s="282">
        <v>43850</v>
      </c>
      <c r="J164" s="283"/>
      <c r="K164" s="279" t="s">
        <v>227</v>
      </c>
      <c r="L164" s="284"/>
      <c r="M164" s="285"/>
      <c r="N164" s="280" t="s">
        <v>35</v>
      </c>
      <c r="O164" s="279">
        <v>250</v>
      </c>
      <c r="P164" s="279" t="s">
        <v>236</v>
      </c>
      <c r="Q164" s="286" t="s">
        <v>229</v>
      </c>
      <c r="R164" s="287">
        <v>1250</v>
      </c>
      <c r="S164" s="287">
        <v>1360</v>
      </c>
      <c r="T164" s="283" t="s">
        <v>232</v>
      </c>
      <c r="U164" s="287" t="s">
        <v>230</v>
      </c>
      <c r="V164" s="247" t="str">
        <f>VLOOKUP(E164,Лист4!A$2:G$395,7,FALSE)</f>
        <v>картон до 250</v>
      </c>
      <c r="W164" s="247">
        <f>IF(ISNA(V164),VLOOKUP(E164,категория!A$42:C$74,3,),6.94+R164*8.333/VLOOKUP(V164,категория!A$42:C$74,2,))</f>
        <v>10.096439393939395</v>
      </c>
    </row>
    <row r="165" spans="1:23" ht="15.75">
      <c r="A165" s="277">
        <v>43841.048611111109</v>
      </c>
      <c r="B165" s="277">
        <v>43841.055555555555</v>
      </c>
      <c r="C165" s="277">
        <f t="shared" si="8"/>
        <v>6.9444444452528842E-3</v>
      </c>
      <c r="D165" s="278">
        <v>1.0416666666666666E-2</v>
      </c>
      <c r="E165" s="329" t="s">
        <v>170</v>
      </c>
      <c r="F165" s="330"/>
      <c r="G165" s="330"/>
      <c r="H165" s="330"/>
      <c r="I165" s="330"/>
      <c r="J165" s="330"/>
      <c r="K165" s="330"/>
      <c r="L165" s="330"/>
      <c r="M165" s="330"/>
      <c r="N165" s="330"/>
      <c r="O165" s="330"/>
      <c r="P165" s="330"/>
      <c r="Q165" s="330"/>
      <c r="R165" s="330"/>
      <c r="S165" s="330"/>
      <c r="T165" s="330"/>
      <c r="U165" s="331"/>
      <c r="V165" s="247" t="e">
        <f>VLOOKUP(E165,Лист4!A$2:G$395,7,FALSE)</f>
        <v>#N/A</v>
      </c>
      <c r="W165" s="247">
        <f>IF(ISNA(V165),VLOOKUP(E165,категория!A$42:C$74,3,),6.94+R165*8.333/VLOOKUP(V165,категория!A$42:C$74,2,))</f>
        <v>2.085</v>
      </c>
    </row>
    <row r="166" spans="1:23" ht="15.75">
      <c r="A166" s="277">
        <v>43841.055555555555</v>
      </c>
      <c r="B166" s="277">
        <v>43841.076388888891</v>
      </c>
      <c r="C166" s="277">
        <f t="shared" si="8"/>
        <v>2.0833333335758653E-2</v>
      </c>
      <c r="D166" s="278">
        <v>2.0833333333333332E-2</v>
      </c>
      <c r="E166" s="329" t="s">
        <v>23</v>
      </c>
      <c r="F166" s="330"/>
      <c r="G166" s="330"/>
      <c r="H166" s="330"/>
      <c r="I166" s="330"/>
      <c r="J166" s="330"/>
      <c r="K166" s="330"/>
      <c r="L166" s="330"/>
      <c r="M166" s="330"/>
      <c r="N166" s="330"/>
      <c r="O166" s="330"/>
      <c r="P166" s="330"/>
      <c r="Q166" s="330"/>
      <c r="R166" s="330"/>
      <c r="S166" s="330"/>
      <c r="T166" s="330"/>
      <c r="U166" s="331"/>
      <c r="V166" s="247" t="e">
        <f>VLOOKUP(E166,Лист4!A$2:G$395,7,FALSE)</f>
        <v>#N/A</v>
      </c>
      <c r="W166" s="247">
        <f>IF(ISNA(V166),VLOOKUP(E166,категория!A$42:C$74,3,),6.94+R166*8.333/VLOOKUP(V166,категория!A$42:C$74,2,))</f>
        <v>2.78</v>
      </c>
    </row>
    <row r="167" spans="1:23" ht="15.75">
      <c r="A167" s="277">
        <v>43841.076388888891</v>
      </c>
      <c r="B167" s="277">
        <v>43841.333333333336</v>
      </c>
      <c r="C167" s="277">
        <f t="shared" si="8"/>
        <v>0.25694444444525288</v>
      </c>
      <c r="D167" s="278">
        <v>4.1666666666666664E-2</v>
      </c>
      <c r="E167" s="329" t="s">
        <v>283</v>
      </c>
      <c r="F167" s="330"/>
      <c r="G167" s="330"/>
      <c r="H167" s="330"/>
      <c r="I167" s="330"/>
      <c r="J167" s="330"/>
      <c r="K167" s="330"/>
      <c r="L167" s="330"/>
      <c r="M167" s="330"/>
      <c r="N167" s="330"/>
      <c r="O167" s="330"/>
      <c r="P167" s="330"/>
      <c r="Q167" s="330"/>
      <c r="R167" s="330"/>
      <c r="S167" s="330"/>
      <c r="T167" s="330"/>
      <c r="U167" s="331"/>
      <c r="V167" s="247" t="e">
        <f>VLOOKUP(E167,Лист4!A$2:G$395,7,FALSE)</f>
        <v>#N/A</v>
      </c>
      <c r="W167" s="247">
        <f>6.16*8.333</f>
        <v>51.33128</v>
      </c>
    </row>
    <row r="168" spans="1:23" ht="15.75">
      <c r="A168" s="288">
        <v>43841.333333333336</v>
      </c>
      <c r="B168" s="332" t="s">
        <v>439</v>
      </c>
      <c r="C168" s="333"/>
      <c r="D168" s="334"/>
      <c r="E168" s="334"/>
      <c r="F168" s="334"/>
      <c r="G168" s="334"/>
      <c r="H168" s="334"/>
      <c r="I168" s="334"/>
      <c r="J168" s="334"/>
      <c r="K168" s="334"/>
      <c r="L168" s="334"/>
      <c r="M168" s="334"/>
      <c r="N168" s="334"/>
      <c r="O168" s="334"/>
      <c r="P168" s="334"/>
      <c r="Q168" s="334"/>
      <c r="R168" s="334"/>
      <c r="S168" s="334"/>
      <c r="T168" s="334"/>
      <c r="U168" s="335"/>
      <c r="V168" s="247" t="e">
        <f>VLOOKUP(E168,Лист4!A$2:G$395,7,FALSE)</f>
        <v>#N/A</v>
      </c>
      <c r="W168" s="52">
        <f>SUM(W155:W167)</f>
        <v>110.50535766666667</v>
      </c>
    </row>
    <row r="169" spans="1:23" ht="15.75">
      <c r="A169" s="277">
        <v>43841.333333333336</v>
      </c>
      <c r="B169" s="277">
        <v>43841.354166666664</v>
      </c>
      <c r="C169" s="277">
        <f>B169-A169</f>
        <v>2.0833333328482695E-2</v>
      </c>
      <c r="D169" s="278">
        <v>2.0833333333333332E-2</v>
      </c>
      <c r="E169" s="329" t="s">
        <v>22</v>
      </c>
      <c r="F169" s="330"/>
      <c r="G169" s="330"/>
      <c r="H169" s="330"/>
      <c r="I169" s="330"/>
      <c r="J169" s="330"/>
      <c r="K169" s="330"/>
      <c r="L169" s="330"/>
      <c r="M169" s="330"/>
      <c r="N169" s="330"/>
      <c r="O169" s="330"/>
      <c r="P169" s="330"/>
      <c r="Q169" s="330"/>
      <c r="R169" s="330"/>
      <c r="S169" s="330"/>
      <c r="T169" s="330"/>
      <c r="U169" s="331"/>
      <c r="V169" s="247" t="e">
        <f>VLOOKUP(E169,Лист4!A$2:G$395,7,FALSE)</f>
        <v>#N/A</v>
      </c>
      <c r="W169" s="247">
        <f>IF(ISNA(V169),VLOOKUP(E169,категория!A$42:C$74,3,),6.94+R169*8.333/VLOOKUP(V169,категория!A$42:C$74,2,))</f>
        <v>4.17</v>
      </c>
    </row>
    <row r="170" spans="1:23" ht="15.75">
      <c r="A170" s="277">
        <v>43841.354166666664</v>
      </c>
      <c r="B170" s="277">
        <v>43841.479166666664</v>
      </c>
      <c r="C170" s="277">
        <f t="shared" ref="C170:C186" si="9">B170-A170</f>
        <v>0.125</v>
      </c>
      <c r="D170" s="278">
        <v>4.1666666666666664E-2</v>
      </c>
      <c r="E170" s="329" t="s">
        <v>263</v>
      </c>
      <c r="F170" s="330"/>
      <c r="G170" s="330"/>
      <c r="H170" s="330"/>
      <c r="I170" s="330"/>
      <c r="J170" s="330"/>
      <c r="K170" s="330"/>
      <c r="L170" s="330"/>
      <c r="M170" s="330"/>
      <c r="N170" s="330"/>
      <c r="O170" s="330"/>
      <c r="P170" s="330"/>
      <c r="Q170" s="330"/>
      <c r="R170" s="330"/>
      <c r="S170" s="330"/>
      <c r="T170" s="330"/>
      <c r="U170" s="331"/>
      <c r="V170" s="247" t="e">
        <f>VLOOKUP(E170,Лист4!A$2:G$395,7,FALSE)</f>
        <v>#N/A</v>
      </c>
      <c r="W170" s="247">
        <f>3*8.333</f>
        <v>24.999000000000002</v>
      </c>
    </row>
    <row r="171" spans="1:23" ht="36.75" customHeight="1">
      <c r="A171" s="277">
        <v>43841.479166666664</v>
      </c>
      <c r="B171" s="277">
        <v>43841.513888888891</v>
      </c>
      <c r="C171" s="277">
        <f t="shared" si="9"/>
        <v>3.4722222226264421E-2</v>
      </c>
      <c r="D171" s="278">
        <v>2.7777777777777776E-2</v>
      </c>
      <c r="E171" s="329" t="s">
        <v>29</v>
      </c>
      <c r="F171" s="330"/>
      <c r="G171" s="330"/>
      <c r="H171" s="330"/>
      <c r="I171" s="330"/>
      <c r="J171" s="330"/>
      <c r="K171" s="330"/>
      <c r="L171" s="330"/>
      <c r="M171" s="330"/>
      <c r="N171" s="330"/>
      <c r="O171" s="330"/>
      <c r="P171" s="330"/>
      <c r="Q171" s="330"/>
      <c r="R171" s="330"/>
      <c r="S171" s="330"/>
      <c r="T171" s="330"/>
      <c r="U171" s="331"/>
      <c r="V171" s="247" t="e">
        <f>VLOOKUP(E171,Лист4!A$2:G$395,7,FALSE)</f>
        <v>#N/A</v>
      </c>
      <c r="W171" s="247">
        <f>IF(ISNA(V171),VLOOKUP(E171,категория!A$42:C$74,3,),6.94+R171*8.333/VLOOKUP(V171,категория!A$42:C$74,2,))</f>
        <v>5.55</v>
      </c>
    </row>
    <row r="172" spans="1:23" ht="15" hidden="1" customHeight="1">
      <c r="A172" s="277">
        <v>43841.513888888891</v>
      </c>
      <c r="B172" s="277">
        <v>43841.555555555555</v>
      </c>
      <c r="C172" s="277">
        <f t="shared" si="9"/>
        <v>4.1666666664241347E-2</v>
      </c>
      <c r="D172" s="278">
        <v>2.4305555555555556E-2</v>
      </c>
      <c r="E172" s="329" t="s">
        <v>171</v>
      </c>
      <c r="F172" s="330"/>
      <c r="G172" s="330"/>
      <c r="H172" s="330"/>
      <c r="I172" s="330"/>
      <c r="J172" s="330"/>
      <c r="K172" s="330"/>
      <c r="L172" s="330"/>
      <c r="M172" s="330"/>
      <c r="N172" s="330"/>
      <c r="O172" s="330"/>
      <c r="P172" s="330"/>
      <c r="Q172" s="330"/>
      <c r="R172" s="330"/>
      <c r="S172" s="330"/>
      <c r="T172" s="330"/>
      <c r="U172" s="331"/>
      <c r="V172" s="247" t="e">
        <f>VLOOKUP(E172,Лист4!A$2:G$395,7,FALSE)</f>
        <v>#N/A</v>
      </c>
      <c r="W172" s="247">
        <f>IF(ISNA(V172),VLOOKUP(E172,категория!A$42:C$74,3,),6.94+R172*8.333/VLOOKUP(V172,категория!A$42:C$74,2,))</f>
        <v>5.55</v>
      </c>
    </row>
    <row r="173" spans="1:23" ht="15.75">
      <c r="A173" s="277">
        <v>43841.555555555555</v>
      </c>
      <c r="B173" s="277">
        <v>43841.583333333336</v>
      </c>
      <c r="C173" s="277">
        <f t="shared" si="9"/>
        <v>2.7777777781011537E-2</v>
      </c>
      <c r="D173" s="278">
        <v>3.472222222222222E-3</v>
      </c>
      <c r="E173" s="329" t="s">
        <v>24</v>
      </c>
      <c r="F173" s="330"/>
      <c r="G173" s="330"/>
      <c r="H173" s="330"/>
      <c r="I173" s="330"/>
      <c r="J173" s="330"/>
      <c r="K173" s="330"/>
      <c r="L173" s="330"/>
      <c r="M173" s="330"/>
      <c r="N173" s="330"/>
      <c r="O173" s="330"/>
      <c r="P173" s="330"/>
      <c r="Q173" s="330"/>
      <c r="R173" s="330"/>
      <c r="S173" s="330"/>
      <c r="T173" s="330"/>
      <c r="U173" s="331"/>
      <c r="V173" s="247" t="e">
        <f>VLOOKUP(E173,Лист4!A$2:G$395,7,FALSE)</f>
        <v>#N/A</v>
      </c>
      <c r="W173" s="247">
        <f>IF(ISNA(V173),VLOOKUP(E173,категория!A$42:C$74,3,),6.94+R173*8.333/VLOOKUP(V173,категория!A$42:C$74,2,))</f>
        <v>3.47</v>
      </c>
    </row>
    <row r="174" spans="1:23" ht="15.75">
      <c r="A174" s="277">
        <v>43841.583333333336</v>
      </c>
      <c r="B174" s="277">
        <v>43841.625</v>
      </c>
      <c r="C174" s="277">
        <f t="shared" si="9"/>
        <v>4.1666666664241347E-2</v>
      </c>
      <c r="D174" s="278">
        <v>3.472222222222222E-3</v>
      </c>
      <c r="E174" s="329" t="s">
        <v>327</v>
      </c>
      <c r="F174" s="330"/>
      <c r="G174" s="330"/>
      <c r="H174" s="330"/>
      <c r="I174" s="330"/>
      <c r="J174" s="330"/>
      <c r="K174" s="330"/>
      <c r="L174" s="330"/>
      <c r="M174" s="330"/>
      <c r="N174" s="330"/>
      <c r="O174" s="330"/>
      <c r="P174" s="330"/>
      <c r="Q174" s="330"/>
      <c r="R174" s="330"/>
      <c r="S174" s="330"/>
      <c r="T174" s="330"/>
      <c r="U174" s="331"/>
      <c r="V174" s="247" t="e">
        <f>VLOOKUP(E174,Лист4!A$2:G$395,7,FALSE)</f>
        <v>#N/A</v>
      </c>
      <c r="W174" s="247">
        <v>8.3330000000000002</v>
      </c>
    </row>
    <row r="175" spans="1:23" ht="36">
      <c r="A175" s="277">
        <v>43841.625</v>
      </c>
      <c r="B175" s="277">
        <v>43841.65625</v>
      </c>
      <c r="C175" s="277">
        <f t="shared" si="9"/>
        <v>3.125E-2</v>
      </c>
      <c r="D175" s="278">
        <v>3.125E-2</v>
      </c>
      <c r="E175" s="279">
        <v>3530</v>
      </c>
      <c r="F175" s="280" t="s">
        <v>440</v>
      </c>
      <c r="G175" s="280" t="s">
        <v>441</v>
      </c>
      <c r="H175" s="281" t="s">
        <v>258</v>
      </c>
      <c r="I175" s="282">
        <v>43840</v>
      </c>
      <c r="J175" s="283"/>
      <c r="K175" s="279" t="s">
        <v>227</v>
      </c>
      <c r="L175" s="284"/>
      <c r="M175" s="285" t="s">
        <v>276</v>
      </c>
      <c r="N175" s="280" t="s">
        <v>35</v>
      </c>
      <c r="O175" s="279">
        <v>250</v>
      </c>
      <c r="P175" s="279" t="s">
        <v>228</v>
      </c>
      <c r="Q175" s="286" t="s">
        <v>229</v>
      </c>
      <c r="R175" s="287">
        <v>2500</v>
      </c>
      <c r="S175" s="287">
        <v>2671</v>
      </c>
      <c r="T175" s="283" t="s">
        <v>232</v>
      </c>
      <c r="U175" s="287" t="s">
        <v>77</v>
      </c>
      <c r="V175" s="247" t="s">
        <v>286</v>
      </c>
      <c r="W175" s="247">
        <f>IF(ISNA(V175),VLOOKUP(E175,категория!A$42:C$74,3,),6.94+R175*8.333/VLOOKUP(V175,категория!A$42:C$74,2,))</f>
        <v>13.252878787878789</v>
      </c>
    </row>
    <row r="176" spans="1:23" ht="15.75">
      <c r="A176" s="277">
        <v>43841.65625</v>
      </c>
      <c r="B176" s="277">
        <v>43841.663194444445</v>
      </c>
      <c r="C176" s="277">
        <f t="shared" si="9"/>
        <v>6.9444444452528842E-3</v>
      </c>
      <c r="D176" s="278">
        <v>1.0416666666666666E-2</v>
      </c>
      <c r="E176" s="329" t="s">
        <v>170</v>
      </c>
      <c r="F176" s="330"/>
      <c r="G176" s="330"/>
      <c r="H176" s="330"/>
      <c r="I176" s="330"/>
      <c r="J176" s="330"/>
      <c r="K176" s="330"/>
      <c r="L176" s="330"/>
      <c r="M176" s="330"/>
      <c r="N176" s="330"/>
      <c r="O176" s="330"/>
      <c r="P176" s="330"/>
      <c r="Q176" s="330"/>
      <c r="R176" s="330"/>
      <c r="S176" s="330"/>
      <c r="T176" s="330"/>
      <c r="U176" s="331"/>
      <c r="V176" s="247" t="e">
        <f>VLOOKUP(E176,Лист4!A$2:G$395,7,FALSE)</f>
        <v>#N/A</v>
      </c>
      <c r="W176" s="247">
        <f>IF(ISNA(V176),VLOOKUP(E176,категория!A$42:C$74,3,),6.94+R176*8.333/VLOOKUP(V176,категория!A$42:C$74,2,))</f>
        <v>2.085</v>
      </c>
    </row>
    <row r="177" spans="1:23" ht="15.75">
      <c r="A177" s="277">
        <v>43841.663194444445</v>
      </c>
      <c r="B177" s="277">
        <v>43841.673611111109</v>
      </c>
      <c r="C177" s="277">
        <f t="shared" si="9"/>
        <v>1.0416666664241347E-2</v>
      </c>
      <c r="D177" s="278">
        <v>3.472222222222222E-3</v>
      </c>
      <c r="E177" s="329" t="s">
        <v>327</v>
      </c>
      <c r="F177" s="330"/>
      <c r="G177" s="330"/>
      <c r="H177" s="330"/>
      <c r="I177" s="330"/>
      <c r="J177" s="330"/>
      <c r="K177" s="330"/>
      <c r="L177" s="330"/>
      <c r="M177" s="330"/>
      <c r="N177" s="330"/>
      <c r="O177" s="330"/>
      <c r="P177" s="330"/>
      <c r="Q177" s="330"/>
      <c r="R177" s="330"/>
      <c r="S177" s="330"/>
      <c r="T177" s="330"/>
      <c r="U177" s="331"/>
      <c r="V177" s="247" t="e">
        <f>VLOOKUP(E177,Лист4!A$2:G$395,7,FALSE)</f>
        <v>#N/A</v>
      </c>
      <c r="W177" s="247">
        <f>8.33*0.25</f>
        <v>2.0825</v>
      </c>
    </row>
    <row r="178" spans="1:23" ht="39.75" customHeight="1">
      <c r="A178" s="277">
        <v>43841.673611111109</v>
      </c>
      <c r="B178" s="277">
        <v>43841.704861111109</v>
      </c>
      <c r="C178" s="277">
        <f t="shared" si="9"/>
        <v>3.125E-2</v>
      </c>
      <c r="D178" s="278">
        <v>3.125E-2</v>
      </c>
      <c r="E178" s="279">
        <v>3530</v>
      </c>
      <c r="F178" s="280" t="s">
        <v>440</v>
      </c>
      <c r="G178" s="280" t="s">
        <v>441</v>
      </c>
      <c r="H178" s="281" t="s">
        <v>259</v>
      </c>
      <c r="I178" s="282">
        <v>43840</v>
      </c>
      <c r="J178" s="283"/>
      <c r="K178" s="279" t="s">
        <v>227</v>
      </c>
      <c r="L178" s="284"/>
      <c r="M178" s="285" t="s">
        <v>276</v>
      </c>
      <c r="N178" s="280" t="s">
        <v>35</v>
      </c>
      <c r="O178" s="279">
        <v>250</v>
      </c>
      <c r="P178" s="279" t="s">
        <v>228</v>
      </c>
      <c r="Q178" s="286" t="s">
        <v>229</v>
      </c>
      <c r="R178" s="287">
        <v>2500</v>
      </c>
      <c r="S178" s="287">
        <v>2671</v>
      </c>
      <c r="T178" s="283" t="s">
        <v>232</v>
      </c>
      <c r="U178" s="287" t="s">
        <v>77</v>
      </c>
      <c r="V178" s="247" t="s">
        <v>286</v>
      </c>
      <c r="W178" s="247">
        <f>IF(ISNA(V178),VLOOKUP(E178,категория!A$42:C$74,3,),R178*8.333/VLOOKUP(V178,категория!A$42:C$74,2,))</f>
        <v>6.3128787878787875</v>
      </c>
    </row>
    <row r="179" spans="1:23" ht="15.75">
      <c r="A179" s="277">
        <v>43841.704861111109</v>
      </c>
      <c r="B179" s="277">
        <v>43841.711805555555</v>
      </c>
      <c r="C179" s="277">
        <f t="shared" si="9"/>
        <v>6.9444444452528842E-3</v>
      </c>
      <c r="D179" s="278">
        <v>6.9444444444444441E-3</v>
      </c>
      <c r="E179" s="329" t="s">
        <v>170</v>
      </c>
      <c r="F179" s="330"/>
      <c r="G179" s="330"/>
      <c r="H179" s="330"/>
      <c r="I179" s="330"/>
      <c r="J179" s="330"/>
      <c r="K179" s="330"/>
      <c r="L179" s="330"/>
      <c r="M179" s="330"/>
      <c r="N179" s="330"/>
      <c r="O179" s="330"/>
      <c r="P179" s="330"/>
      <c r="Q179" s="330"/>
      <c r="R179" s="330"/>
      <c r="S179" s="330"/>
      <c r="T179" s="330"/>
      <c r="U179" s="331"/>
      <c r="V179" s="247" t="e">
        <f>VLOOKUP(E179,Лист4!A$2:G$395,7,FALSE)</f>
        <v>#N/A</v>
      </c>
      <c r="W179" s="247">
        <f>IF(ISNA(V179),VLOOKUP(E179,категория!A$42:C$74,3,),6.94+R179*8.333/VLOOKUP(V179,категория!A$42:C$74,2,))</f>
        <v>2.085</v>
      </c>
    </row>
    <row r="180" spans="1:23" ht="41.25" customHeight="1">
      <c r="A180" s="277">
        <v>43841.711805555555</v>
      </c>
      <c r="B180" s="277">
        <v>43841.722222222219</v>
      </c>
      <c r="C180" s="277">
        <f t="shared" si="9"/>
        <v>1.0416666664241347E-2</v>
      </c>
      <c r="D180" s="278">
        <v>3.472222222222222E-3</v>
      </c>
      <c r="E180" s="329" t="s">
        <v>327</v>
      </c>
      <c r="F180" s="330"/>
      <c r="G180" s="330"/>
      <c r="H180" s="330"/>
      <c r="I180" s="330"/>
      <c r="J180" s="330"/>
      <c r="K180" s="330"/>
      <c r="L180" s="330"/>
      <c r="M180" s="330"/>
      <c r="N180" s="330"/>
      <c r="O180" s="330"/>
      <c r="P180" s="330"/>
      <c r="Q180" s="330"/>
      <c r="R180" s="330"/>
      <c r="S180" s="330"/>
      <c r="T180" s="330"/>
      <c r="U180" s="331"/>
      <c r="V180" s="247" t="e">
        <f>VLOOKUP(E180,Лист4!A$2:G$395,7,FALSE)</f>
        <v>#N/A</v>
      </c>
      <c r="W180" s="247">
        <f>8.33*0.25</f>
        <v>2.0825</v>
      </c>
    </row>
    <row r="181" spans="1:23" ht="36">
      <c r="A181" s="277">
        <v>43841.722222222219</v>
      </c>
      <c r="B181" s="277">
        <v>43841.753472222219</v>
      </c>
      <c r="C181" s="277">
        <f t="shared" si="9"/>
        <v>3.125E-2</v>
      </c>
      <c r="D181" s="278">
        <v>3.125E-2</v>
      </c>
      <c r="E181" s="279">
        <v>3530</v>
      </c>
      <c r="F181" s="280" t="s">
        <v>440</v>
      </c>
      <c r="G181" s="280" t="s">
        <v>441</v>
      </c>
      <c r="H181" s="281" t="s">
        <v>260</v>
      </c>
      <c r="I181" s="282">
        <v>43840</v>
      </c>
      <c r="J181" s="283"/>
      <c r="K181" s="279" t="s">
        <v>227</v>
      </c>
      <c r="L181" s="284"/>
      <c r="M181" s="285" t="s">
        <v>276</v>
      </c>
      <c r="N181" s="280" t="s">
        <v>35</v>
      </c>
      <c r="O181" s="279">
        <v>250</v>
      </c>
      <c r="P181" s="279" t="s">
        <v>228</v>
      </c>
      <c r="Q181" s="286" t="s">
        <v>229</v>
      </c>
      <c r="R181" s="287">
        <v>2500</v>
      </c>
      <c r="S181" s="287">
        <v>2671</v>
      </c>
      <c r="T181" s="283" t="s">
        <v>232</v>
      </c>
      <c r="U181" s="287" t="s">
        <v>77</v>
      </c>
      <c r="V181" s="247" t="s">
        <v>286</v>
      </c>
      <c r="W181" s="247">
        <f>IF(ISNA(V181),VLOOKUP(E181,категория!A$42:C$74,3,),R181*8.333/VLOOKUP(V181,категория!A$42:C$74,2,))</f>
        <v>6.3128787878787875</v>
      </c>
    </row>
    <row r="182" spans="1:23" ht="15.75">
      <c r="A182" s="277">
        <v>43841.753472222219</v>
      </c>
      <c r="B182" s="277">
        <v>43841.760416666664</v>
      </c>
      <c r="C182" s="277">
        <f t="shared" si="9"/>
        <v>6.9444444452528842E-3</v>
      </c>
      <c r="D182" s="278">
        <v>1.0416666666666666E-2</v>
      </c>
      <c r="E182" s="329" t="s">
        <v>170</v>
      </c>
      <c r="F182" s="330"/>
      <c r="G182" s="330"/>
      <c r="H182" s="330"/>
      <c r="I182" s="330"/>
      <c r="J182" s="330"/>
      <c r="K182" s="330"/>
      <c r="L182" s="330"/>
      <c r="M182" s="330"/>
      <c r="N182" s="330"/>
      <c r="O182" s="330"/>
      <c r="P182" s="330"/>
      <c r="Q182" s="330"/>
      <c r="R182" s="330"/>
      <c r="S182" s="330"/>
      <c r="T182" s="330"/>
      <c r="U182" s="331"/>
      <c r="V182" s="247" t="e">
        <f>VLOOKUP(E182,Лист4!A$2:G$395,7,FALSE)</f>
        <v>#N/A</v>
      </c>
      <c r="W182" s="247">
        <f>IF(ISNA(V182),VLOOKUP(E182,категория!A$42:C$74,3,),6.94+R182*8.333/VLOOKUP(V182,категория!A$42:C$74,2,))</f>
        <v>2.085</v>
      </c>
    </row>
    <row r="183" spans="1:23" ht="15.75">
      <c r="A183" s="277">
        <v>43841.760416666664</v>
      </c>
      <c r="B183" s="277">
        <v>43841.770833333336</v>
      </c>
      <c r="C183" s="277">
        <f t="shared" si="9"/>
        <v>1.0416666671517305E-2</v>
      </c>
      <c r="D183" s="278">
        <v>3.472222222222222E-3</v>
      </c>
      <c r="E183" s="329" t="s">
        <v>327</v>
      </c>
      <c r="F183" s="330"/>
      <c r="G183" s="330"/>
      <c r="H183" s="330"/>
      <c r="I183" s="330"/>
      <c r="J183" s="330"/>
      <c r="K183" s="330"/>
      <c r="L183" s="330"/>
      <c r="M183" s="330"/>
      <c r="N183" s="330"/>
      <c r="O183" s="330"/>
      <c r="P183" s="330"/>
      <c r="Q183" s="330"/>
      <c r="R183" s="330"/>
      <c r="S183" s="330"/>
      <c r="T183" s="330"/>
      <c r="U183" s="331"/>
      <c r="V183" s="247" t="e">
        <f>VLOOKUP(E183,Лист4!A$2:G$395,7,FALSE)</f>
        <v>#N/A</v>
      </c>
      <c r="W183" s="247">
        <f>8.333*0.25</f>
        <v>2.08325</v>
      </c>
    </row>
    <row r="184" spans="1:23" ht="36">
      <c r="A184" s="277">
        <v>43841.770833333336</v>
      </c>
      <c r="B184" s="277">
        <v>43841.805555555555</v>
      </c>
      <c r="C184" s="277">
        <f t="shared" si="9"/>
        <v>3.4722222218988463E-2</v>
      </c>
      <c r="D184" s="278">
        <v>3.4722222222222224E-2</v>
      </c>
      <c r="E184" s="279">
        <v>3530</v>
      </c>
      <c r="F184" s="280" t="s">
        <v>440</v>
      </c>
      <c r="G184" s="280" t="s">
        <v>441</v>
      </c>
      <c r="H184" s="281" t="s">
        <v>261</v>
      </c>
      <c r="I184" s="282">
        <v>43840</v>
      </c>
      <c r="J184" s="283"/>
      <c r="K184" s="279" t="s">
        <v>227</v>
      </c>
      <c r="L184" s="284"/>
      <c r="M184" s="285" t="s">
        <v>276</v>
      </c>
      <c r="N184" s="280" t="s">
        <v>35</v>
      </c>
      <c r="O184" s="279">
        <v>250</v>
      </c>
      <c r="P184" s="279" t="s">
        <v>228</v>
      </c>
      <c r="Q184" s="286" t="s">
        <v>229</v>
      </c>
      <c r="R184" s="287">
        <v>3000</v>
      </c>
      <c r="S184" s="287">
        <v>2968</v>
      </c>
      <c r="T184" s="283" t="s">
        <v>232</v>
      </c>
      <c r="U184" s="287" t="s">
        <v>77</v>
      </c>
      <c r="V184" s="247" t="s">
        <v>286</v>
      </c>
      <c r="W184" s="247">
        <f>IF(ISNA(V184),VLOOKUP(E184,категория!A$42:C$74,3,),R184*8.333/VLOOKUP(V184,категория!A$42:C$74,2,))</f>
        <v>7.5754545454545452</v>
      </c>
    </row>
    <row r="185" spans="1:23" ht="15.75">
      <c r="A185" s="277">
        <v>43841.805555555555</v>
      </c>
      <c r="B185" s="277">
        <v>43841.8125</v>
      </c>
      <c r="C185" s="277">
        <f t="shared" si="9"/>
        <v>6.9444444452528842E-3</v>
      </c>
      <c r="D185" s="278">
        <v>6.9444444444444441E-3</v>
      </c>
      <c r="E185" s="329" t="s">
        <v>170</v>
      </c>
      <c r="F185" s="330"/>
      <c r="G185" s="330"/>
      <c r="H185" s="330"/>
      <c r="I185" s="330"/>
      <c r="J185" s="330"/>
      <c r="K185" s="330"/>
      <c r="L185" s="330"/>
      <c r="M185" s="330"/>
      <c r="N185" s="330"/>
      <c r="O185" s="330"/>
      <c r="P185" s="330"/>
      <c r="Q185" s="330"/>
      <c r="R185" s="330"/>
      <c r="S185" s="330"/>
      <c r="T185" s="330"/>
      <c r="U185" s="331"/>
      <c r="V185" s="247" t="e">
        <f>VLOOKUP(E185,Лист4!A$2:G$395,7,FALSE)</f>
        <v>#N/A</v>
      </c>
      <c r="W185" s="247">
        <f>IF(ISNA(V185),VLOOKUP(E185,категория!A$42:C$74,3,),6.94+R185*8.333/VLOOKUP(V185,категория!A$42:C$74,2,))</f>
        <v>2.085</v>
      </c>
    </row>
    <row r="186" spans="1:23" ht="59.25" customHeight="1">
      <c r="A186" s="277">
        <v>43841.8125</v>
      </c>
      <c r="B186" s="277">
        <v>43841.833333333336</v>
      </c>
      <c r="C186" s="277">
        <f t="shared" si="9"/>
        <v>2.0833333335758653E-2</v>
      </c>
      <c r="D186" s="278">
        <v>2.0833333333333332E-2</v>
      </c>
      <c r="E186" s="329" t="s">
        <v>22</v>
      </c>
      <c r="F186" s="330"/>
      <c r="G186" s="330"/>
      <c r="H186" s="330"/>
      <c r="I186" s="330"/>
      <c r="J186" s="330"/>
      <c r="K186" s="330"/>
      <c r="L186" s="330"/>
      <c r="M186" s="330"/>
      <c r="N186" s="330"/>
      <c r="O186" s="330"/>
      <c r="P186" s="330"/>
      <c r="Q186" s="330"/>
      <c r="R186" s="330"/>
      <c r="S186" s="330"/>
      <c r="T186" s="330"/>
      <c r="U186" s="331"/>
      <c r="V186" s="247" t="e">
        <f>VLOOKUP(E186,Лист4!A$2:G$395,7,FALSE)</f>
        <v>#N/A</v>
      </c>
      <c r="W186" s="247">
        <f>IF(ISNA(V186),VLOOKUP(E186,категория!A$42:C$74,3,),6.94+R186*8.333/VLOOKUP(V186,категория!A$42:C$74,2,))</f>
        <v>4.17</v>
      </c>
    </row>
    <row r="187" spans="1:23" ht="15.75">
      <c r="A187" s="288">
        <v>43841.833333333336</v>
      </c>
      <c r="B187" s="332" t="s">
        <v>442</v>
      </c>
      <c r="C187" s="333"/>
      <c r="D187" s="334"/>
      <c r="E187" s="334"/>
      <c r="F187" s="334"/>
      <c r="G187" s="334"/>
      <c r="H187" s="334"/>
      <c r="I187" s="334"/>
      <c r="J187" s="334"/>
      <c r="K187" s="334"/>
      <c r="L187" s="334"/>
      <c r="M187" s="334"/>
      <c r="N187" s="334"/>
      <c r="O187" s="334"/>
      <c r="P187" s="334"/>
      <c r="Q187" s="334"/>
      <c r="R187" s="334"/>
      <c r="S187" s="334"/>
      <c r="T187" s="334"/>
      <c r="U187" s="335"/>
      <c r="V187" s="247" t="e">
        <f>VLOOKUP(E187,Лист4!A$2:G$395,7,FALSE)</f>
        <v>#N/A</v>
      </c>
      <c r="W187" s="52">
        <f>SUM(W169:W186)</f>
        <v>104.28434090909089</v>
      </c>
    </row>
    <row r="188" spans="1:23" ht="15.75">
      <c r="A188" s="277">
        <v>43841.833333333336</v>
      </c>
      <c r="B188" s="277">
        <v>43841.854166666664</v>
      </c>
      <c r="C188" s="277">
        <f>B188-A188</f>
        <v>2.0833333328482695E-2</v>
      </c>
      <c r="D188" s="278">
        <v>2.0833333333333332E-2</v>
      </c>
      <c r="E188" s="329" t="s">
        <v>22</v>
      </c>
      <c r="F188" s="330"/>
      <c r="G188" s="330"/>
      <c r="H188" s="330"/>
      <c r="I188" s="330"/>
      <c r="J188" s="330"/>
      <c r="K188" s="330"/>
      <c r="L188" s="330"/>
      <c r="M188" s="330"/>
      <c r="N188" s="330"/>
      <c r="O188" s="330"/>
      <c r="P188" s="330"/>
      <c r="Q188" s="330"/>
      <c r="R188" s="330"/>
      <c r="S188" s="330"/>
      <c r="T188" s="330"/>
      <c r="U188" s="331"/>
      <c r="V188" s="247" t="e">
        <f>VLOOKUP(E188,Лист4!A$2:G$395,7,FALSE)</f>
        <v>#N/A</v>
      </c>
      <c r="W188" s="247">
        <f>IF(ISNA(V188),VLOOKUP(E188,категория!A$42:C$74,3,),6.94+R188*8.333/VLOOKUP(V188,категория!A$42:C$74,2,))</f>
        <v>4.17</v>
      </c>
    </row>
    <row r="189" spans="1:23" ht="15.75">
      <c r="A189" s="277">
        <v>43841.854166666664</v>
      </c>
      <c r="B189" s="277">
        <v>43841.868055555555</v>
      </c>
      <c r="C189" s="277">
        <f t="shared" ref="C189:C208" si="10">B189-A189</f>
        <v>1.3888888890505768E-2</v>
      </c>
      <c r="D189" s="278">
        <v>4.1666666666666664E-2</v>
      </c>
      <c r="E189" s="329" t="s">
        <v>28</v>
      </c>
      <c r="F189" s="330"/>
      <c r="G189" s="330"/>
      <c r="H189" s="330"/>
      <c r="I189" s="330"/>
      <c r="J189" s="330"/>
      <c r="K189" s="330"/>
      <c r="L189" s="330"/>
      <c r="M189" s="330"/>
      <c r="N189" s="330"/>
      <c r="O189" s="330"/>
      <c r="P189" s="330"/>
      <c r="Q189" s="330"/>
      <c r="R189" s="330"/>
      <c r="S189" s="330"/>
      <c r="T189" s="330"/>
      <c r="U189" s="331"/>
      <c r="V189" s="247" t="e">
        <f>VLOOKUP(E189,Лист4!A$2:G$395,7,FALSE)</f>
        <v>#N/A</v>
      </c>
      <c r="W189" s="247">
        <f>IF(ISNA(V189),VLOOKUP(E189,категория!A$42:C$74,3,),6.94+R189*8.333/VLOOKUP(V189,категория!A$42:C$74,2,))*0.333</f>
        <v>2.7749888999999999</v>
      </c>
    </row>
    <row r="190" spans="1:23" ht="15.75">
      <c r="A190" s="277">
        <v>43841.868055555555</v>
      </c>
      <c r="B190" s="277">
        <v>43841.888888888891</v>
      </c>
      <c r="C190" s="277">
        <f t="shared" si="10"/>
        <v>2.0833333335758653E-2</v>
      </c>
      <c r="D190" s="278">
        <v>3.472222222222222E-3</v>
      </c>
      <c r="E190" s="329" t="s">
        <v>24</v>
      </c>
      <c r="F190" s="330"/>
      <c r="G190" s="330"/>
      <c r="H190" s="330"/>
      <c r="I190" s="330"/>
      <c r="J190" s="330"/>
      <c r="K190" s="330"/>
      <c r="L190" s="330"/>
      <c r="M190" s="330"/>
      <c r="N190" s="330"/>
      <c r="O190" s="330"/>
      <c r="P190" s="330"/>
      <c r="Q190" s="330"/>
      <c r="R190" s="330"/>
      <c r="S190" s="330"/>
      <c r="T190" s="330"/>
      <c r="U190" s="331"/>
      <c r="V190" s="247" t="e">
        <f>VLOOKUP(E190,Лист4!A$2:G$395,7,FALSE)</f>
        <v>#N/A</v>
      </c>
      <c r="W190" s="247">
        <f>IF(ISNA(V190),VLOOKUP(E190,категория!A$42:C$74,3,),6.94+R190*8.333/VLOOKUP(V190,категория!A$42:C$74,2,))</f>
        <v>3.47</v>
      </c>
    </row>
    <row r="191" spans="1:23" ht="36.75" customHeight="1">
      <c r="A191" s="277">
        <v>43841.888888888891</v>
      </c>
      <c r="B191" s="277">
        <v>43841.895833333336</v>
      </c>
      <c r="C191" s="277">
        <f t="shared" si="10"/>
        <v>6.9444444452528842E-3</v>
      </c>
      <c r="D191" s="278">
        <v>3.472222222222222E-3</v>
      </c>
      <c r="E191" s="329" t="s">
        <v>327</v>
      </c>
      <c r="F191" s="330"/>
      <c r="G191" s="330"/>
      <c r="H191" s="330"/>
      <c r="I191" s="330"/>
      <c r="J191" s="330"/>
      <c r="K191" s="330"/>
      <c r="L191" s="330"/>
      <c r="M191" s="330"/>
      <c r="N191" s="330"/>
      <c r="O191" s="330"/>
      <c r="P191" s="330"/>
      <c r="Q191" s="330"/>
      <c r="R191" s="330"/>
      <c r="S191" s="330"/>
      <c r="T191" s="330"/>
      <c r="U191" s="331"/>
      <c r="V191" s="247" t="e">
        <f>VLOOKUP(E191,Лист4!A$2:G$395,7,FALSE)</f>
        <v>#N/A</v>
      </c>
      <c r="W191" s="247">
        <f>8.33*0.16</f>
        <v>1.3328</v>
      </c>
    </row>
    <row r="192" spans="1:23" ht="15" hidden="1" customHeight="1">
      <c r="A192" s="277">
        <v>43841.895833333336</v>
      </c>
      <c r="B192" s="277">
        <v>43841.916666666664</v>
      </c>
      <c r="C192" s="277">
        <f t="shared" si="10"/>
        <v>2.0833333328482695E-2</v>
      </c>
      <c r="D192" s="278">
        <v>2.7777777777777776E-2</v>
      </c>
      <c r="E192" s="329" t="s">
        <v>29</v>
      </c>
      <c r="F192" s="330"/>
      <c r="G192" s="330"/>
      <c r="H192" s="330"/>
      <c r="I192" s="330"/>
      <c r="J192" s="330"/>
      <c r="K192" s="330"/>
      <c r="L192" s="330"/>
      <c r="M192" s="330"/>
      <c r="N192" s="330"/>
      <c r="O192" s="330"/>
      <c r="P192" s="330"/>
      <c r="Q192" s="330"/>
      <c r="R192" s="330"/>
      <c r="S192" s="330"/>
      <c r="T192" s="330"/>
      <c r="U192" s="331"/>
      <c r="V192" s="247" t="e">
        <f>VLOOKUP(E192,Лист4!A$2:G$395,7,FALSE)</f>
        <v>#N/A</v>
      </c>
      <c r="W192" s="247">
        <f>IF(ISNA(V192),VLOOKUP(E192,категория!A$42:C$74,3,),6.94+R192*8.333/VLOOKUP(V192,категория!A$42:C$74,2,))</f>
        <v>5.55</v>
      </c>
    </row>
    <row r="193" spans="1:23" ht="15.75">
      <c r="A193" s="277">
        <v>43841.916666666664</v>
      </c>
      <c r="B193" s="277">
        <v>43841.9375</v>
      </c>
      <c r="C193" s="277">
        <f t="shared" si="10"/>
        <v>2.0833333335758653E-2</v>
      </c>
      <c r="D193" s="278">
        <v>4.1666666666666664E-2</v>
      </c>
      <c r="E193" s="329" t="s">
        <v>28</v>
      </c>
      <c r="F193" s="330"/>
      <c r="G193" s="330"/>
      <c r="H193" s="330"/>
      <c r="I193" s="330"/>
      <c r="J193" s="330"/>
      <c r="K193" s="330"/>
      <c r="L193" s="330"/>
      <c r="M193" s="330"/>
      <c r="N193" s="330"/>
      <c r="O193" s="330"/>
      <c r="P193" s="330"/>
      <c r="Q193" s="330"/>
      <c r="R193" s="330"/>
      <c r="S193" s="330"/>
      <c r="T193" s="330"/>
      <c r="U193" s="331"/>
      <c r="V193" s="247" t="e">
        <f>VLOOKUP(E193,Лист4!A$2:G$395,7,FALSE)</f>
        <v>#N/A</v>
      </c>
      <c r="W193" s="247">
        <f>IF(ISNA(V193),VLOOKUP(E193,категория!A$42:C$74,3,),6.94+R193*8.333/VLOOKUP(V193,категория!A$42:C$74,2,))*0.5</f>
        <v>4.1666499999999997</v>
      </c>
    </row>
    <row r="194" spans="1:23" ht="34.5" customHeight="1">
      <c r="A194" s="277">
        <v>43841.9375</v>
      </c>
      <c r="B194" s="277">
        <v>43841.975694444445</v>
      </c>
      <c r="C194" s="277">
        <f t="shared" si="10"/>
        <v>3.8194444445252884E-2</v>
      </c>
      <c r="D194" s="278">
        <v>3.8194444444444441E-2</v>
      </c>
      <c r="E194" s="279">
        <v>41</v>
      </c>
      <c r="F194" s="280" t="s">
        <v>440</v>
      </c>
      <c r="G194" s="280" t="s">
        <v>443</v>
      </c>
      <c r="H194" s="281" t="s">
        <v>258</v>
      </c>
      <c r="I194" s="282">
        <v>43846</v>
      </c>
      <c r="J194" s="283"/>
      <c r="K194" s="279" t="s">
        <v>227</v>
      </c>
      <c r="L194" s="284"/>
      <c r="M194" s="285" t="s">
        <v>276</v>
      </c>
      <c r="N194" s="280" t="s">
        <v>35</v>
      </c>
      <c r="O194" s="279">
        <v>250</v>
      </c>
      <c r="P194" s="279" t="s">
        <v>228</v>
      </c>
      <c r="Q194" s="286" t="s">
        <v>229</v>
      </c>
      <c r="R194" s="287">
        <v>2500</v>
      </c>
      <c r="S194" s="287">
        <v>3178</v>
      </c>
      <c r="T194" s="283" t="s">
        <v>232</v>
      </c>
      <c r="U194" s="287" t="s">
        <v>230</v>
      </c>
      <c r="V194" s="247" t="s">
        <v>286</v>
      </c>
      <c r="W194" s="247">
        <f>IF(ISNA(V194),VLOOKUP(E194,категория!A$42:C$74,3,),6.94+R194*8.333/VLOOKUP(V194,категория!A$42:C$74,2,))</f>
        <v>13.252878787878789</v>
      </c>
    </row>
    <row r="195" spans="1:23" ht="15.75">
      <c r="A195" s="277">
        <v>43841.975694444445</v>
      </c>
      <c r="B195" s="277">
        <v>43841.982638888891</v>
      </c>
      <c r="C195" s="277">
        <f t="shared" si="10"/>
        <v>6.9444444452528842E-3</v>
      </c>
      <c r="D195" s="278">
        <v>1.0416666666666666E-2</v>
      </c>
      <c r="E195" s="329" t="s">
        <v>170</v>
      </c>
      <c r="F195" s="330"/>
      <c r="G195" s="330"/>
      <c r="H195" s="330"/>
      <c r="I195" s="330"/>
      <c r="J195" s="330"/>
      <c r="K195" s="330"/>
      <c r="L195" s="330"/>
      <c r="M195" s="330"/>
      <c r="N195" s="330"/>
      <c r="O195" s="330"/>
      <c r="P195" s="330"/>
      <c r="Q195" s="330"/>
      <c r="R195" s="330"/>
      <c r="S195" s="330"/>
      <c r="T195" s="330"/>
      <c r="U195" s="331"/>
      <c r="V195" s="247" t="e">
        <f>VLOOKUP(E195,Лист4!A$2:G$395,7,FALSE)</f>
        <v>#N/A</v>
      </c>
      <c r="W195" s="247">
        <f>IF(ISNA(V195),VLOOKUP(E195,категория!A$42:C$74,3,),6.94+R195*8.333/VLOOKUP(V195,категория!A$42:C$74,2,))</f>
        <v>2.085</v>
      </c>
    </row>
    <row r="196" spans="1:23" ht="15.75">
      <c r="A196" s="277">
        <v>43841.982638888891</v>
      </c>
      <c r="B196" s="277">
        <v>43841.989583333336</v>
      </c>
      <c r="C196" s="277">
        <f t="shared" si="10"/>
        <v>6.9444444452528842E-3</v>
      </c>
      <c r="D196" s="278">
        <v>3.472222222222222E-3</v>
      </c>
      <c r="E196" s="329" t="s">
        <v>327</v>
      </c>
      <c r="F196" s="330"/>
      <c r="G196" s="330"/>
      <c r="H196" s="330"/>
      <c r="I196" s="330"/>
      <c r="J196" s="330"/>
      <c r="K196" s="330"/>
      <c r="L196" s="330"/>
      <c r="M196" s="330"/>
      <c r="N196" s="330"/>
      <c r="O196" s="330"/>
      <c r="P196" s="330"/>
      <c r="Q196" s="330"/>
      <c r="R196" s="330"/>
      <c r="S196" s="330"/>
      <c r="T196" s="330"/>
      <c r="U196" s="331"/>
      <c r="V196" s="247" t="e">
        <f>VLOOKUP(E196,Лист4!A$2:G$395,7,FALSE)</f>
        <v>#N/A</v>
      </c>
      <c r="W196" s="247">
        <f>8.33*0.16</f>
        <v>1.3328</v>
      </c>
    </row>
    <row r="197" spans="1:23" ht="34.5" customHeight="1">
      <c r="A197" s="277">
        <v>43841.989583333336</v>
      </c>
      <c r="B197" s="277">
        <v>43842.020833333336</v>
      </c>
      <c r="C197" s="277">
        <f t="shared" si="10"/>
        <v>3.125E-2</v>
      </c>
      <c r="D197" s="278">
        <v>3.125E-2</v>
      </c>
      <c r="E197" s="279">
        <v>41</v>
      </c>
      <c r="F197" s="280" t="s">
        <v>440</v>
      </c>
      <c r="G197" s="280" t="s">
        <v>443</v>
      </c>
      <c r="H197" s="281" t="s">
        <v>259</v>
      </c>
      <c r="I197" s="282">
        <v>43846</v>
      </c>
      <c r="J197" s="283"/>
      <c r="K197" s="279" t="s">
        <v>227</v>
      </c>
      <c r="L197" s="284"/>
      <c r="M197" s="285" t="s">
        <v>276</v>
      </c>
      <c r="N197" s="280" t="s">
        <v>35</v>
      </c>
      <c r="O197" s="279">
        <v>250</v>
      </c>
      <c r="P197" s="279" t="s">
        <v>228</v>
      </c>
      <c r="Q197" s="286" t="s">
        <v>229</v>
      </c>
      <c r="R197" s="287">
        <v>2500</v>
      </c>
      <c r="S197" s="287">
        <v>2601</v>
      </c>
      <c r="T197" s="283" t="s">
        <v>232</v>
      </c>
      <c r="U197" s="287" t="s">
        <v>230</v>
      </c>
      <c r="V197" s="247" t="s">
        <v>286</v>
      </c>
      <c r="W197" s="247">
        <f>IF(ISNA(V197),VLOOKUP(E197,категория!A$42:C$74,3,),R197*8.333/VLOOKUP(V197,категория!A$42:C$74,2,))</f>
        <v>6.3128787878787875</v>
      </c>
    </row>
    <row r="198" spans="1:23" ht="15" hidden="1" customHeight="1">
      <c r="A198" s="277">
        <v>43842.020833333336</v>
      </c>
      <c r="B198" s="277">
        <v>43842.034722222219</v>
      </c>
      <c r="C198" s="277">
        <f t="shared" si="10"/>
        <v>1.3888888883229811E-2</v>
      </c>
      <c r="D198" s="278">
        <v>2.0833333333333332E-2</v>
      </c>
      <c r="E198" s="329" t="s">
        <v>2</v>
      </c>
      <c r="F198" s="330"/>
      <c r="G198" s="330"/>
      <c r="H198" s="330"/>
      <c r="I198" s="330"/>
      <c r="J198" s="330"/>
      <c r="K198" s="330"/>
      <c r="L198" s="330"/>
      <c r="M198" s="330"/>
      <c r="N198" s="330"/>
      <c r="O198" s="330"/>
      <c r="P198" s="330"/>
      <c r="Q198" s="330"/>
      <c r="R198" s="330"/>
      <c r="S198" s="330"/>
      <c r="T198" s="330"/>
      <c r="U198" s="331"/>
      <c r="V198" s="247" t="e">
        <f>VLOOKUP(E198,Лист4!A$2:G$395,7,FALSE)</f>
        <v>#N/A</v>
      </c>
      <c r="W198" s="247">
        <f>IF(ISNA(V198),VLOOKUP(E198,категория!A$42:C$74,3,),6.94+R198*8.333/VLOOKUP(V198,категория!A$42:C$74,2,))</f>
        <v>4.17</v>
      </c>
    </row>
    <row r="199" spans="1:23" ht="15.75">
      <c r="A199" s="277">
        <v>43842.034722222219</v>
      </c>
      <c r="B199" s="277">
        <v>43842.055555555555</v>
      </c>
      <c r="C199" s="277">
        <f t="shared" si="10"/>
        <v>2.0833333335758653E-2</v>
      </c>
      <c r="D199" s="278">
        <v>2.0833333333333332E-2</v>
      </c>
      <c r="E199" s="329" t="s">
        <v>23</v>
      </c>
      <c r="F199" s="330"/>
      <c r="G199" s="330"/>
      <c r="H199" s="330"/>
      <c r="I199" s="330"/>
      <c r="J199" s="330"/>
      <c r="K199" s="330"/>
      <c r="L199" s="330"/>
      <c r="M199" s="330"/>
      <c r="N199" s="330"/>
      <c r="O199" s="330"/>
      <c r="P199" s="330"/>
      <c r="Q199" s="330"/>
      <c r="R199" s="330"/>
      <c r="S199" s="330"/>
      <c r="T199" s="330"/>
      <c r="U199" s="331"/>
      <c r="V199" s="247" t="e">
        <f>VLOOKUP(E199,Лист4!A$2:G$395,7,FALSE)</f>
        <v>#N/A</v>
      </c>
      <c r="W199" s="247">
        <f>IF(ISNA(V199),VLOOKUP(E199,категория!A$42:C$74,3,),6.94+R199*8.333/VLOOKUP(V199,категория!A$42:C$74,2,))</f>
        <v>2.78</v>
      </c>
    </row>
    <row r="200" spans="1:23" ht="36">
      <c r="A200" s="277">
        <v>43842.055555555555</v>
      </c>
      <c r="B200" s="277">
        <v>43842.083333333336</v>
      </c>
      <c r="C200" s="277">
        <f t="shared" si="10"/>
        <v>2.7777777781011537E-2</v>
      </c>
      <c r="D200" s="278">
        <v>2.7777777777777776E-2</v>
      </c>
      <c r="E200" s="279">
        <v>41</v>
      </c>
      <c r="F200" s="280" t="s">
        <v>440</v>
      </c>
      <c r="G200" s="280" t="s">
        <v>443</v>
      </c>
      <c r="H200" s="281" t="s">
        <v>260</v>
      </c>
      <c r="I200" s="282">
        <v>43846</v>
      </c>
      <c r="J200" s="283"/>
      <c r="K200" s="279" t="s">
        <v>227</v>
      </c>
      <c r="L200" s="284"/>
      <c r="M200" s="285" t="s">
        <v>276</v>
      </c>
      <c r="N200" s="280" t="s">
        <v>35</v>
      </c>
      <c r="O200" s="279">
        <v>250</v>
      </c>
      <c r="P200" s="279" t="s">
        <v>228</v>
      </c>
      <c r="Q200" s="286" t="s">
        <v>229</v>
      </c>
      <c r="R200" s="287">
        <v>2500</v>
      </c>
      <c r="S200" s="287">
        <v>2312</v>
      </c>
      <c r="T200" s="283" t="s">
        <v>232</v>
      </c>
      <c r="U200" s="287" t="s">
        <v>230</v>
      </c>
      <c r="V200" s="247" t="s">
        <v>286</v>
      </c>
      <c r="W200" s="247">
        <f>IF(ISNA(V200),VLOOKUP(E200,категория!A$42:C$74,3,),R200*8.333/VLOOKUP(V200,категория!A$42:C$74,2,))</f>
        <v>6.3128787878787875</v>
      </c>
    </row>
    <row r="201" spans="1:23" ht="36.75" customHeight="1">
      <c r="A201" s="277">
        <v>43842.083333333336</v>
      </c>
      <c r="B201" s="277">
        <v>43842.097222222219</v>
      </c>
      <c r="C201" s="277">
        <f t="shared" si="10"/>
        <v>1.3888888883229811E-2</v>
      </c>
      <c r="D201" s="278">
        <v>2.0833333333333332E-2</v>
      </c>
      <c r="E201" s="329" t="s">
        <v>2</v>
      </c>
      <c r="F201" s="330"/>
      <c r="G201" s="330"/>
      <c r="H201" s="330"/>
      <c r="I201" s="330"/>
      <c r="J201" s="330"/>
      <c r="K201" s="330"/>
      <c r="L201" s="330"/>
      <c r="M201" s="330"/>
      <c r="N201" s="330"/>
      <c r="O201" s="330"/>
      <c r="P201" s="330"/>
      <c r="Q201" s="330"/>
      <c r="R201" s="330"/>
      <c r="S201" s="330"/>
      <c r="T201" s="330"/>
      <c r="U201" s="331"/>
      <c r="V201" s="247" t="e">
        <f>VLOOKUP(E201,Лист4!A$2:G$395,7,FALSE)</f>
        <v>#N/A</v>
      </c>
      <c r="W201" s="247">
        <f>IF(ISNA(V201),VLOOKUP(E201,категория!A$42:C$74,3,),6.94+R201*8.333/VLOOKUP(V201,категория!A$42:C$74,2,))</f>
        <v>4.17</v>
      </c>
    </row>
    <row r="202" spans="1:23" ht="15" hidden="1" customHeight="1">
      <c r="A202" s="277">
        <v>43842.097222222219</v>
      </c>
      <c r="B202" s="277">
        <v>43842.131944444445</v>
      </c>
      <c r="C202" s="277">
        <f t="shared" si="10"/>
        <v>3.4722222226264421E-2</v>
      </c>
      <c r="D202" s="278">
        <v>3.4722222222222224E-2</v>
      </c>
      <c r="E202" s="279">
        <v>41</v>
      </c>
      <c r="F202" s="280" t="s">
        <v>440</v>
      </c>
      <c r="G202" s="280" t="s">
        <v>443</v>
      </c>
      <c r="H202" s="281" t="s">
        <v>261</v>
      </c>
      <c r="I202" s="282">
        <v>43846</v>
      </c>
      <c r="J202" s="283"/>
      <c r="K202" s="279" t="s">
        <v>227</v>
      </c>
      <c r="L202" s="284"/>
      <c r="M202" s="285" t="s">
        <v>276</v>
      </c>
      <c r="N202" s="280" t="s">
        <v>35</v>
      </c>
      <c r="O202" s="279">
        <v>250</v>
      </c>
      <c r="P202" s="279" t="s">
        <v>228</v>
      </c>
      <c r="Q202" s="286" t="s">
        <v>229</v>
      </c>
      <c r="R202" s="287">
        <v>3000</v>
      </c>
      <c r="S202" s="287">
        <v>2889</v>
      </c>
      <c r="T202" s="283" t="s">
        <v>232</v>
      </c>
      <c r="U202" s="287" t="s">
        <v>230</v>
      </c>
      <c r="V202" s="247" t="str">
        <f>VLOOKUP(E202,Лист4!A$2:G$395,7,FALSE)</f>
        <v>картон до 250</v>
      </c>
      <c r="W202" s="247">
        <f>IF(ISNA(V202),VLOOKUP(E202,категория!A$42:C$74,3,),6.94+R202*8.333/VLOOKUP(V202,категория!A$42:C$74,2,))</f>
        <v>14.515454545454546</v>
      </c>
    </row>
    <row r="203" spans="1:23" ht="15.75">
      <c r="A203" s="277">
        <v>43842.131944444445</v>
      </c>
      <c r="B203" s="277">
        <v>43842.145833333336</v>
      </c>
      <c r="C203" s="277">
        <f t="shared" si="10"/>
        <v>1.3888888890505768E-2</v>
      </c>
      <c r="D203" s="278">
        <v>2.0833333333333332E-2</v>
      </c>
      <c r="E203" s="329" t="s">
        <v>2</v>
      </c>
      <c r="F203" s="330"/>
      <c r="G203" s="330"/>
      <c r="H203" s="330"/>
      <c r="I203" s="330"/>
      <c r="J203" s="330"/>
      <c r="K203" s="330"/>
      <c r="L203" s="330"/>
      <c r="M203" s="330"/>
      <c r="N203" s="330"/>
      <c r="O203" s="330"/>
      <c r="P203" s="330"/>
      <c r="Q203" s="330"/>
      <c r="R203" s="330"/>
      <c r="S203" s="330"/>
      <c r="T203" s="330"/>
      <c r="U203" s="331"/>
      <c r="V203" s="247" t="e">
        <f>VLOOKUP(E203,Лист4!A$2:G$395,7,FALSE)</f>
        <v>#N/A</v>
      </c>
      <c r="W203" s="247">
        <f>IF(ISNA(V203),VLOOKUP(E203,категория!A$42:C$74,3,),6.94+R203*8.333/VLOOKUP(V203,категория!A$42:C$74,2,))</f>
        <v>4.17</v>
      </c>
    </row>
    <row r="204" spans="1:23" ht="15.75">
      <c r="A204" s="277">
        <v>43842.145833333336</v>
      </c>
      <c r="B204" s="277">
        <v>43842.229166666664</v>
      </c>
      <c r="C204" s="277">
        <f t="shared" si="10"/>
        <v>8.3333333328482695E-2</v>
      </c>
      <c r="D204" s="278">
        <v>4.1666666666666664E-2</v>
      </c>
      <c r="E204" s="329" t="s">
        <v>28</v>
      </c>
      <c r="F204" s="330"/>
      <c r="G204" s="330"/>
      <c r="H204" s="330"/>
      <c r="I204" s="330"/>
      <c r="J204" s="330"/>
      <c r="K204" s="330"/>
      <c r="L204" s="330"/>
      <c r="M204" s="330"/>
      <c r="N204" s="330"/>
      <c r="O204" s="330"/>
      <c r="P204" s="330"/>
      <c r="Q204" s="330"/>
      <c r="R204" s="330"/>
      <c r="S204" s="330"/>
      <c r="T204" s="330"/>
      <c r="U204" s="331"/>
      <c r="V204" s="247" t="e">
        <f>VLOOKUP(E204,Лист4!A$2:G$395,7,FALSE)</f>
        <v>#N/A</v>
      </c>
      <c r="W204" s="247">
        <f>IF(ISNA(V204),VLOOKUP(E204,категория!A$42:C$74,3,),6.94+R204*8.333/VLOOKUP(V204,категория!A$42:C$74,2,))*2</f>
        <v>16.666599999999999</v>
      </c>
    </row>
    <row r="205" spans="1:23" ht="36" customHeight="1">
      <c r="A205" s="277">
        <v>43842.229166666664</v>
      </c>
      <c r="B205" s="277">
        <v>43842.256944444445</v>
      </c>
      <c r="C205" s="277">
        <f t="shared" si="10"/>
        <v>2.7777777781011537E-2</v>
      </c>
      <c r="D205" s="278">
        <v>2.7777777777777776E-2</v>
      </c>
      <c r="E205" s="329" t="s">
        <v>29</v>
      </c>
      <c r="F205" s="330"/>
      <c r="G205" s="330"/>
      <c r="H205" s="330"/>
      <c r="I205" s="330"/>
      <c r="J205" s="330"/>
      <c r="K205" s="330"/>
      <c r="L205" s="330"/>
      <c r="M205" s="330"/>
      <c r="N205" s="330"/>
      <c r="O205" s="330"/>
      <c r="P205" s="330"/>
      <c r="Q205" s="330"/>
      <c r="R205" s="330"/>
      <c r="S205" s="330"/>
      <c r="T205" s="330"/>
      <c r="U205" s="331"/>
      <c r="V205" s="247" t="e">
        <f>VLOOKUP(E205,Лист4!A$2:G$395,7,FALSE)</f>
        <v>#N/A</v>
      </c>
      <c r="W205" s="247">
        <f>IF(ISNA(V205),VLOOKUP(E205,категория!A$42:C$74,3,),6.94+R205*8.333/VLOOKUP(V205,категория!A$42:C$74,2,))</f>
        <v>5.55</v>
      </c>
    </row>
    <row r="206" spans="1:23" ht="15.75">
      <c r="A206" s="277">
        <v>43842.256944444445</v>
      </c>
      <c r="B206" s="277">
        <v>43842.270833333336</v>
      </c>
      <c r="C206" s="277">
        <f t="shared" si="10"/>
        <v>1.3888888890505768E-2</v>
      </c>
      <c r="D206" s="278">
        <v>3.472222222222222E-3</v>
      </c>
      <c r="E206" s="329" t="s">
        <v>24</v>
      </c>
      <c r="F206" s="330"/>
      <c r="G206" s="330"/>
      <c r="H206" s="330"/>
      <c r="I206" s="330"/>
      <c r="J206" s="330"/>
      <c r="K206" s="330"/>
      <c r="L206" s="330"/>
      <c r="M206" s="330"/>
      <c r="N206" s="330"/>
      <c r="O206" s="330"/>
      <c r="P206" s="330"/>
      <c r="Q206" s="330"/>
      <c r="R206" s="330"/>
      <c r="S206" s="330"/>
      <c r="T206" s="330"/>
      <c r="U206" s="331"/>
      <c r="V206" s="247" t="e">
        <f>VLOOKUP(E206,Лист4!A$2:G$395,7,FALSE)</f>
        <v>#N/A</v>
      </c>
      <c r="W206" s="247">
        <f>IF(ISNA(V206),VLOOKUP(E206,категория!A$42:C$74,3,),6.94+R206*8.333/VLOOKUP(V206,категория!A$42:C$74,2,))</f>
        <v>3.47</v>
      </c>
    </row>
    <row r="207" spans="1:23" ht="48">
      <c r="A207" s="277">
        <v>43842.270833333336</v>
      </c>
      <c r="B207" s="277">
        <v>43842.326388888891</v>
      </c>
      <c r="C207" s="277">
        <f t="shared" si="10"/>
        <v>5.5555555554747116E-2</v>
      </c>
      <c r="D207" s="278">
        <v>5.5555555555555552E-2</v>
      </c>
      <c r="E207" s="279">
        <v>16</v>
      </c>
      <c r="F207" s="280" t="s">
        <v>444</v>
      </c>
      <c r="G207" s="280" t="s">
        <v>445</v>
      </c>
      <c r="H207" s="281" t="s">
        <v>258</v>
      </c>
      <c r="I207" s="282">
        <v>43845</v>
      </c>
      <c r="J207" s="283"/>
      <c r="K207" s="279" t="s">
        <v>227</v>
      </c>
      <c r="L207" s="284"/>
      <c r="M207" s="285" t="s">
        <v>254</v>
      </c>
      <c r="N207" s="280" t="s">
        <v>318</v>
      </c>
      <c r="O207" s="279">
        <v>235</v>
      </c>
      <c r="P207" s="279" t="s">
        <v>446</v>
      </c>
      <c r="Q207" s="286" t="s">
        <v>229</v>
      </c>
      <c r="R207" s="287">
        <v>6000</v>
      </c>
      <c r="S207" s="287">
        <v>8800</v>
      </c>
      <c r="T207" s="283" t="s">
        <v>232</v>
      </c>
      <c r="U207" s="287" t="s">
        <v>230</v>
      </c>
      <c r="V207" s="247" t="s">
        <v>286</v>
      </c>
      <c r="W207" s="247">
        <f>IF(ISNA(V207),VLOOKUP(E207,категория!A$42:C$74,3,),6.94+R207*8.333/VLOOKUP(V207,категория!A$42:C$74,2,))</f>
        <v>22.09090909090909</v>
      </c>
    </row>
    <row r="208" spans="1:23" ht="15.75">
      <c r="A208" s="277">
        <v>43842.326388888891</v>
      </c>
      <c r="B208" s="277">
        <v>43842.333333333336</v>
      </c>
      <c r="C208" s="277">
        <f t="shared" si="10"/>
        <v>6.9444444452528842E-3</v>
      </c>
      <c r="D208" s="278">
        <v>2.0833333333333332E-2</v>
      </c>
      <c r="E208" s="329" t="s">
        <v>2</v>
      </c>
      <c r="F208" s="330"/>
      <c r="G208" s="330"/>
      <c r="H208" s="330"/>
      <c r="I208" s="330"/>
      <c r="J208" s="330"/>
      <c r="K208" s="330"/>
      <c r="L208" s="330"/>
      <c r="M208" s="330"/>
      <c r="N208" s="330"/>
      <c r="O208" s="330"/>
      <c r="P208" s="330"/>
      <c r="Q208" s="330"/>
      <c r="R208" s="330"/>
      <c r="S208" s="330"/>
      <c r="T208" s="330"/>
      <c r="U208" s="331"/>
      <c r="V208" s="247" t="e">
        <f>VLOOKUP(E208,Лист4!A$2:G$395,7,FALSE)</f>
        <v>#N/A</v>
      </c>
      <c r="W208" s="247">
        <f>IF(ISNA(V208),VLOOKUP(E208,категория!A$42:C$74,3,),6.94+R208*8.333/VLOOKUP(V208,категория!A$42:C$74,2,))</f>
        <v>4.17</v>
      </c>
    </row>
    <row r="209" spans="1:23" ht="15.75">
      <c r="A209" s="288">
        <v>43842.333333333336</v>
      </c>
      <c r="B209" s="332" t="s">
        <v>447</v>
      </c>
      <c r="C209" s="333"/>
      <c r="D209" s="334"/>
      <c r="E209" s="334"/>
      <c r="F209" s="334"/>
      <c r="G209" s="334"/>
      <c r="H209" s="334"/>
      <c r="I209" s="334"/>
      <c r="J209" s="334"/>
      <c r="K209" s="334"/>
      <c r="L209" s="334"/>
      <c r="M209" s="334"/>
      <c r="N209" s="334"/>
      <c r="O209" s="334"/>
      <c r="P209" s="334"/>
      <c r="Q209" s="334"/>
      <c r="R209" s="334"/>
      <c r="S209" s="334"/>
      <c r="T209" s="334"/>
      <c r="U209" s="335"/>
      <c r="V209" s="247" t="e">
        <f>VLOOKUP(E209,Лист4!A$2:G$395,7,FALSE)</f>
        <v>#N/A</v>
      </c>
      <c r="W209" s="52">
        <f>SUM(W188:W208)</f>
        <v>132.5138389</v>
      </c>
    </row>
    <row r="210" spans="1:23" ht="15.75">
      <c r="A210" s="277">
        <v>43842.333333333336</v>
      </c>
      <c r="B210" s="277">
        <v>43842.354166666664</v>
      </c>
      <c r="C210" s="277">
        <f>B210-A210</f>
        <v>2.0833333328482695E-2</v>
      </c>
      <c r="D210" s="278">
        <v>2.0833333333333332E-2</v>
      </c>
      <c r="E210" s="329" t="s">
        <v>22</v>
      </c>
      <c r="F210" s="330"/>
      <c r="G210" s="330"/>
      <c r="H210" s="330"/>
      <c r="I210" s="330"/>
      <c r="J210" s="330"/>
      <c r="K210" s="330"/>
      <c r="L210" s="330"/>
      <c r="M210" s="330"/>
      <c r="N210" s="330"/>
      <c r="O210" s="330"/>
      <c r="P210" s="330"/>
      <c r="Q210" s="330"/>
      <c r="R210" s="330"/>
      <c r="S210" s="330"/>
      <c r="T210" s="330"/>
      <c r="U210" s="331"/>
      <c r="V210" s="247" t="e">
        <f>VLOOKUP(E210,Лист4!A$2:G$395,7,FALSE)</f>
        <v>#N/A</v>
      </c>
      <c r="W210" s="247">
        <f>IF(ISNA(V210),VLOOKUP(E210,категория!A$42:C$74,3,),6.94+R210*8.333/VLOOKUP(V210,категория!A$42:C$74,2,))</f>
        <v>4.17</v>
      </c>
    </row>
    <row r="211" spans="1:23" ht="15.75">
      <c r="A211" s="277">
        <v>43842.354166666664</v>
      </c>
      <c r="B211" s="277">
        <v>43842.520833333336</v>
      </c>
      <c r="C211" s="277">
        <f t="shared" ref="C211:C235" si="11">B211-A211</f>
        <v>0.16666666667151731</v>
      </c>
      <c r="D211" s="278">
        <v>4.1666666666666664E-2</v>
      </c>
      <c r="E211" s="329" t="s">
        <v>448</v>
      </c>
      <c r="F211" s="330"/>
      <c r="G211" s="330"/>
      <c r="H211" s="330"/>
      <c r="I211" s="330"/>
      <c r="J211" s="330"/>
      <c r="K211" s="330"/>
      <c r="L211" s="330"/>
      <c r="M211" s="330"/>
      <c r="N211" s="330"/>
      <c r="O211" s="330"/>
      <c r="P211" s="330"/>
      <c r="Q211" s="330"/>
      <c r="R211" s="330"/>
      <c r="S211" s="330"/>
      <c r="T211" s="330"/>
      <c r="U211" s="331"/>
      <c r="V211" s="247" t="e">
        <f>VLOOKUP(E211,Лист4!A$2:G$395,7,FALSE)</f>
        <v>#N/A</v>
      </c>
      <c r="W211" s="247">
        <f>4*8.333</f>
        <v>33.332000000000001</v>
      </c>
    </row>
    <row r="212" spans="1:23" ht="15.75">
      <c r="A212" s="277">
        <v>43842.520833333336</v>
      </c>
      <c r="B212" s="277">
        <v>43842.541666666664</v>
      </c>
      <c r="C212" s="277">
        <f t="shared" si="11"/>
        <v>2.0833333328482695E-2</v>
      </c>
      <c r="D212" s="278">
        <v>2.0833333333333332E-2</v>
      </c>
      <c r="E212" s="329" t="s">
        <v>23</v>
      </c>
      <c r="F212" s="330"/>
      <c r="G212" s="330"/>
      <c r="H212" s="330"/>
      <c r="I212" s="330"/>
      <c r="J212" s="330"/>
      <c r="K212" s="330"/>
      <c r="L212" s="330"/>
      <c r="M212" s="330"/>
      <c r="N212" s="330"/>
      <c r="O212" s="330"/>
      <c r="P212" s="330"/>
      <c r="Q212" s="330"/>
      <c r="R212" s="330"/>
      <c r="S212" s="330"/>
      <c r="T212" s="330"/>
      <c r="U212" s="331"/>
      <c r="V212" s="247" t="e">
        <f>VLOOKUP(E212,Лист4!A$2:G$395,7,FALSE)</f>
        <v>#N/A</v>
      </c>
      <c r="W212" s="247">
        <f>IF(ISNA(V212),VLOOKUP(E212,категория!A$42:C$74,3,),6.94+R212*8.333/VLOOKUP(V212,категория!A$42:C$74,2,))</f>
        <v>2.78</v>
      </c>
    </row>
    <row r="213" spans="1:23" ht="48">
      <c r="A213" s="277">
        <v>43842.541666666664</v>
      </c>
      <c r="B213" s="277">
        <v>43842.555555555555</v>
      </c>
      <c r="C213" s="277">
        <f t="shared" si="11"/>
        <v>1.3888888890505768E-2</v>
      </c>
      <c r="D213" s="278">
        <v>1.3888888888888888E-2</v>
      </c>
      <c r="E213" s="279">
        <v>16</v>
      </c>
      <c r="F213" s="280" t="s">
        <v>444</v>
      </c>
      <c r="G213" s="280" t="s">
        <v>445</v>
      </c>
      <c r="H213" s="281" t="s">
        <v>259</v>
      </c>
      <c r="I213" s="282">
        <v>43845</v>
      </c>
      <c r="J213" s="283"/>
      <c r="K213" s="279" t="s">
        <v>227</v>
      </c>
      <c r="L213" s="284"/>
      <c r="M213" s="285" t="s">
        <v>254</v>
      </c>
      <c r="N213" s="280" t="s">
        <v>318</v>
      </c>
      <c r="O213" s="279">
        <v>235</v>
      </c>
      <c r="P213" s="279" t="s">
        <v>446</v>
      </c>
      <c r="Q213" s="286" t="s">
        <v>229</v>
      </c>
      <c r="R213" s="287">
        <v>3000</v>
      </c>
      <c r="S213" s="287">
        <v>2200</v>
      </c>
      <c r="T213" s="283" t="s">
        <v>232</v>
      </c>
      <c r="U213" s="287" t="s">
        <v>76</v>
      </c>
      <c r="V213" s="247" t="s">
        <v>286</v>
      </c>
      <c r="W213" s="247">
        <f>IF(ISNA(V213),VLOOKUP(E213,категория!A$42:C$74,3,),R213*8.333/VLOOKUP(V213,категория!A$42:C$74,2,))</f>
        <v>7.5754545454545452</v>
      </c>
    </row>
    <row r="214" spans="1:23" ht="15.75">
      <c r="A214" s="277">
        <v>43842.555555555555</v>
      </c>
      <c r="B214" s="277">
        <v>43842.559027777781</v>
      </c>
      <c r="C214" s="277">
        <f t="shared" si="11"/>
        <v>3.4722222262644209E-3</v>
      </c>
      <c r="D214" s="278">
        <v>1.0416666666666666E-2</v>
      </c>
      <c r="E214" s="329" t="s">
        <v>170</v>
      </c>
      <c r="F214" s="330"/>
      <c r="G214" s="330"/>
      <c r="H214" s="330"/>
      <c r="I214" s="330"/>
      <c r="J214" s="330"/>
      <c r="K214" s="330"/>
      <c r="L214" s="330"/>
      <c r="M214" s="330"/>
      <c r="N214" s="330"/>
      <c r="O214" s="330"/>
      <c r="P214" s="330"/>
      <c r="Q214" s="330"/>
      <c r="R214" s="330"/>
      <c r="S214" s="330"/>
      <c r="T214" s="330"/>
      <c r="U214" s="331"/>
      <c r="V214" s="247" t="e">
        <f>VLOOKUP(E214,Лист4!A$2:G$395,7,FALSE)</f>
        <v>#N/A</v>
      </c>
      <c r="W214" s="247">
        <f>IF(ISNA(V214),VLOOKUP(E214,категория!A$42:C$74,3,),6.94+R214*8.333/VLOOKUP(V214,категория!A$42:C$74,2,))</f>
        <v>2.085</v>
      </c>
    </row>
    <row r="215" spans="1:23" ht="15.75">
      <c r="A215" s="277">
        <v>43842.559027777781</v>
      </c>
      <c r="B215" s="277">
        <v>43842.569444444445</v>
      </c>
      <c r="C215" s="277">
        <f t="shared" si="11"/>
        <v>1.0416666664241347E-2</v>
      </c>
      <c r="D215" s="278">
        <v>3.472222222222222E-3</v>
      </c>
      <c r="E215" s="329" t="s">
        <v>327</v>
      </c>
      <c r="F215" s="330"/>
      <c r="G215" s="330"/>
      <c r="H215" s="330"/>
      <c r="I215" s="330"/>
      <c r="J215" s="330"/>
      <c r="K215" s="330"/>
      <c r="L215" s="330"/>
      <c r="M215" s="330"/>
      <c r="N215" s="330"/>
      <c r="O215" s="330"/>
      <c r="P215" s="330"/>
      <c r="Q215" s="330"/>
      <c r="R215" s="330"/>
      <c r="S215" s="330"/>
      <c r="T215" s="330"/>
      <c r="U215" s="331"/>
      <c r="V215" s="247" t="e">
        <f>VLOOKUP(E215,Лист4!A$2:G$395,7,FALSE)</f>
        <v>#N/A</v>
      </c>
      <c r="W215" s="247">
        <f>8.33*0.25</f>
        <v>2.0825</v>
      </c>
    </row>
    <row r="216" spans="1:23" ht="48">
      <c r="A216" s="277">
        <v>43842.569444444445</v>
      </c>
      <c r="B216" s="277">
        <v>43842.583333333336</v>
      </c>
      <c r="C216" s="277">
        <f t="shared" si="11"/>
        <v>1.3888888890505768E-2</v>
      </c>
      <c r="D216" s="278">
        <v>1.3888888888888888E-2</v>
      </c>
      <c r="E216" s="279">
        <v>16</v>
      </c>
      <c r="F216" s="280" t="s">
        <v>444</v>
      </c>
      <c r="G216" s="280" t="s">
        <v>445</v>
      </c>
      <c r="H216" s="281" t="s">
        <v>260</v>
      </c>
      <c r="I216" s="282">
        <v>43845</v>
      </c>
      <c r="J216" s="283"/>
      <c r="K216" s="279" t="s">
        <v>227</v>
      </c>
      <c r="L216" s="284"/>
      <c r="M216" s="285" t="s">
        <v>254</v>
      </c>
      <c r="N216" s="280" t="s">
        <v>318</v>
      </c>
      <c r="O216" s="279">
        <v>235</v>
      </c>
      <c r="P216" s="279" t="s">
        <v>446</v>
      </c>
      <c r="Q216" s="286" t="s">
        <v>229</v>
      </c>
      <c r="R216" s="287">
        <v>3000</v>
      </c>
      <c r="S216" s="287">
        <v>2200</v>
      </c>
      <c r="T216" s="283" t="s">
        <v>232</v>
      </c>
      <c r="U216" s="287" t="s">
        <v>76</v>
      </c>
      <c r="V216" s="247" t="s">
        <v>286</v>
      </c>
      <c r="W216" s="247">
        <f>IF(ISNA(V216),VLOOKUP(E216,категория!A$42:C$74,3,),R216*8.333/VLOOKUP(V216,категория!A$42:C$74,2,))</f>
        <v>7.5754545454545452</v>
      </c>
    </row>
    <row r="217" spans="1:23" ht="15.75">
      <c r="A217" s="277">
        <v>43842.583333333336</v>
      </c>
      <c r="B217" s="277">
        <v>43842.586805555555</v>
      </c>
      <c r="C217" s="277">
        <f t="shared" si="11"/>
        <v>3.4722222189884633E-3</v>
      </c>
      <c r="D217" s="278">
        <v>1.0416666666666666E-2</v>
      </c>
      <c r="E217" s="329" t="s">
        <v>170</v>
      </c>
      <c r="F217" s="330"/>
      <c r="G217" s="330"/>
      <c r="H217" s="330"/>
      <c r="I217" s="330"/>
      <c r="J217" s="330"/>
      <c r="K217" s="330"/>
      <c r="L217" s="330"/>
      <c r="M217" s="330"/>
      <c r="N217" s="330"/>
      <c r="O217" s="330"/>
      <c r="P217" s="330"/>
      <c r="Q217" s="330"/>
      <c r="R217" s="330"/>
      <c r="S217" s="330"/>
      <c r="T217" s="330"/>
      <c r="U217" s="331"/>
      <c r="V217" s="247" t="e">
        <f>VLOOKUP(E217,Лист4!A$2:G$395,7,FALSE)</f>
        <v>#N/A</v>
      </c>
      <c r="W217" s="247">
        <f>IF(ISNA(V217),VLOOKUP(E217,категория!A$42:C$74,3,),6.94+R217*8.333/VLOOKUP(V217,категория!A$42:C$74,2,))</f>
        <v>2.085</v>
      </c>
    </row>
    <row r="218" spans="1:23" ht="15.75">
      <c r="A218" s="277">
        <v>43842.586805555555</v>
      </c>
      <c r="B218" s="277">
        <v>43842.597222222219</v>
      </c>
      <c r="C218" s="277">
        <f t="shared" si="11"/>
        <v>1.0416666664241347E-2</v>
      </c>
      <c r="D218" s="278">
        <v>3.472222222222222E-3</v>
      </c>
      <c r="E218" s="329" t="s">
        <v>327</v>
      </c>
      <c r="F218" s="330"/>
      <c r="G218" s="330"/>
      <c r="H218" s="330"/>
      <c r="I218" s="330"/>
      <c r="J218" s="330"/>
      <c r="K218" s="330"/>
      <c r="L218" s="330"/>
      <c r="M218" s="330"/>
      <c r="N218" s="330"/>
      <c r="O218" s="330"/>
      <c r="P218" s="330"/>
      <c r="Q218" s="330"/>
      <c r="R218" s="330"/>
      <c r="S218" s="330"/>
      <c r="T218" s="330"/>
      <c r="U218" s="331"/>
      <c r="V218" s="247" t="e">
        <f>VLOOKUP(E218,Лист4!A$2:G$395,7,FALSE)</f>
        <v>#N/A</v>
      </c>
      <c r="W218" s="247">
        <f>8.333*0.25</f>
        <v>2.08325</v>
      </c>
    </row>
    <row r="219" spans="1:23" ht="48">
      <c r="A219" s="277">
        <v>43842.597222222219</v>
      </c>
      <c r="B219" s="277">
        <v>43842.611111111109</v>
      </c>
      <c r="C219" s="277">
        <f t="shared" si="11"/>
        <v>1.3888888890505768E-2</v>
      </c>
      <c r="D219" s="278">
        <v>1.3888888888888888E-2</v>
      </c>
      <c r="E219" s="279">
        <v>16</v>
      </c>
      <c r="F219" s="280" t="s">
        <v>444</v>
      </c>
      <c r="G219" s="280" t="s">
        <v>445</v>
      </c>
      <c r="H219" s="281" t="s">
        <v>261</v>
      </c>
      <c r="I219" s="282">
        <v>43845</v>
      </c>
      <c r="J219" s="283"/>
      <c r="K219" s="279" t="s">
        <v>227</v>
      </c>
      <c r="L219" s="284"/>
      <c r="M219" s="285" t="s">
        <v>254</v>
      </c>
      <c r="N219" s="280" t="s">
        <v>318</v>
      </c>
      <c r="O219" s="279">
        <v>235</v>
      </c>
      <c r="P219" s="279" t="s">
        <v>446</v>
      </c>
      <c r="Q219" s="286" t="s">
        <v>229</v>
      </c>
      <c r="R219" s="287">
        <v>3000</v>
      </c>
      <c r="S219" s="287">
        <v>2200</v>
      </c>
      <c r="T219" s="283" t="s">
        <v>232</v>
      </c>
      <c r="U219" s="287" t="s">
        <v>76</v>
      </c>
      <c r="V219" s="247" t="s">
        <v>286</v>
      </c>
      <c r="W219" s="247">
        <f>IF(ISNA(V219),VLOOKUP(E219,категория!A$42:C$74,3,),R219*8.333/VLOOKUP(V219,категория!A$42:C$74,2,))</f>
        <v>7.5754545454545452</v>
      </c>
    </row>
    <row r="220" spans="1:23" ht="15.75">
      <c r="A220" s="277">
        <v>43842.611111111109</v>
      </c>
      <c r="B220" s="277">
        <v>43842.614583333336</v>
      </c>
      <c r="C220" s="277">
        <f t="shared" si="11"/>
        <v>3.4722222262644209E-3</v>
      </c>
      <c r="D220" s="278">
        <v>1.0416666666666666E-2</v>
      </c>
      <c r="E220" s="329" t="s">
        <v>170</v>
      </c>
      <c r="F220" s="330"/>
      <c r="G220" s="330"/>
      <c r="H220" s="330"/>
      <c r="I220" s="330"/>
      <c r="J220" s="330"/>
      <c r="K220" s="330"/>
      <c r="L220" s="330"/>
      <c r="M220" s="330"/>
      <c r="N220" s="330"/>
      <c r="O220" s="330"/>
      <c r="P220" s="330"/>
      <c r="Q220" s="330"/>
      <c r="R220" s="330"/>
      <c r="S220" s="330"/>
      <c r="T220" s="330"/>
      <c r="U220" s="331"/>
      <c r="V220" s="247" t="e">
        <f>VLOOKUP(E220,Лист4!A$2:G$395,7,FALSE)</f>
        <v>#N/A</v>
      </c>
      <c r="W220" s="247">
        <f>IF(ISNA(V220),VLOOKUP(E220,категория!A$42:C$74,3,),6.94+R220*8.333/VLOOKUP(V220,категория!A$42:C$74,2,))</f>
        <v>2.085</v>
      </c>
    </row>
    <row r="221" spans="1:23" ht="15.75">
      <c r="A221" s="277">
        <v>43842.614583333336</v>
      </c>
      <c r="B221" s="277">
        <v>43842.621527777781</v>
      </c>
      <c r="C221" s="277">
        <f t="shared" si="11"/>
        <v>6.9444444452528842E-3</v>
      </c>
      <c r="D221" s="278">
        <v>3.472222222222222E-3</v>
      </c>
      <c r="E221" s="329" t="s">
        <v>327</v>
      </c>
      <c r="F221" s="330"/>
      <c r="G221" s="330"/>
      <c r="H221" s="330"/>
      <c r="I221" s="330"/>
      <c r="J221" s="330"/>
      <c r="K221" s="330"/>
      <c r="L221" s="330"/>
      <c r="M221" s="330"/>
      <c r="N221" s="330"/>
      <c r="O221" s="330"/>
      <c r="P221" s="330"/>
      <c r="Q221" s="330"/>
      <c r="R221" s="330"/>
      <c r="S221" s="330"/>
      <c r="T221" s="330"/>
      <c r="U221" s="331"/>
      <c r="V221" s="247" t="e">
        <f>VLOOKUP(E221,Лист4!A$2:G$395,7,FALSE)</f>
        <v>#N/A</v>
      </c>
      <c r="W221" s="247">
        <f>8.33*0.16</f>
        <v>1.3328</v>
      </c>
    </row>
    <row r="222" spans="1:23" ht="15.75">
      <c r="A222" s="277">
        <v>43842.621527777781</v>
      </c>
      <c r="B222" s="277">
        <v>43842.625</v>
      </c>
      <c r="C222" s="277">
        <f t="shared" si="11"/>
        <v>3.4722222189884633E-3</v>
      </c>
      <c r="D222" s="278">
        <v>3.472222222222222E-3</v>
      </c>
      <c r="E222" s="329" t="s">
        <v>24</v>
      </c>
      <c r="F222" s="330"/>
      <c r="G222" s="330"/>
      <c r="H222" s="330"/>
      <c r="I222" s="330"/>
      <c r="J222" s="330"/>
      <c r="K222" s="330"/>
      <c r="L222" s="330"/>
      <c r="M222" s="330"/>
      <c r="N222" s="330"/>
      <c r="O222" s="330"/>
      <c r="P222" s="330"/>
      <c r="Q222" s="330"/>
      <c r="R222" s="330"/>
      <c r="S222" s="330"/>
      <c r="T222" s="330"/>
      <c r="U222" s="331"/>
      <c r="V222" s="247" t="e">
        <f>VLOOKUP(E222,Лист4!A$2:G$395,7,FALSE)</f>
        <v>#N/A</v>
      </c>
      <c r="W222" s="247">
        <f>IF(ISNA(V222),VLOOKUP(E222,категория!A$42:C$74,3,),6.94+R222*8.333/VLOOKUP(V222,категория!A$42:C$74,2,))</f>
        <v>3.47</v>
      </c>
    </row>
    <row r="223" spans="1:23" ht="48">
      <c r="A223" s="277">
        <v>43842.625</v>
      </c>
      <c r="B223" s="277">
        <v>43842.631944444445</v>
      </c>
      <c r="C223" s="277">
        <f t="shared" si="11"/>
        <v>6.9444444452528842E-3</v>
      </c>
      <c r="D223" s="278">
        <v>6.9444444444444441E-3</v>
      </c>
      <c r="E223" s="279">
        <v>16</v>
      </c>
      <c r="F223" s="280" t="s">
        <v>444</v>
      </c>
      <c r="G223" s="280" t="s">
        <v>445</v>
      </c>
      <c r="H223" s="281" t="s">
        <v>262</v>
      </c>
      <c r="I223" s="282">
        <v>43845</v>
      </c>
      <c r="J223" s="283"/>
      <c r="K223" s="279" t="s">
        <v>227</v>
      </c>
      <c r="L223" s="284"/>
      <c r="M223" s="285" t="s">
        <v>254</v>
      </c>
      <c r="N223" s="280" t="s">
        <v>318</v>
      </c>
      <c r="O223" s="279">
        <v>235</v>
      </c>
      <c r="P223" s="279" t="s">
        <v>446</v>
      </c>
      <c r="Q223" s="286" t="s">
        <v>229</v>
      </c>
      <c r="R223" s="287">
        <v>1200</v>
      </c>
      <c r="S223" s="287">
        <v>1100</v>
      </c>
      <c r="T223" s="283" t="s">
        <v>232</v>
      </c>
      <c r="U223" s="287" t="s">
        <v>76</v>
      </c>
      <c r="V223" s="247" t="s">
        <v>286</v>
      </c>
      <c r="W223" s="247">
        <f>IF(ISNA(V223),VLOOKUP(E223,категория!A$42:C$74,3,),R223*8.333/VLOOKUP(V223,категория!A$42:C$74,2,))</f>
        <v>3.0301818181818181</v>
      </c>
    </row>
    <row r="224" spans="1:23" ht="15.75">
      <c r="A224" s="277">
        <v>43842.631944444445</v>
      </c>
      <c r="B224" s="277">
        <v>43842.645833333336</v>
      </c>
      <c r="C224" s="277">
        <f t="shared" si="11"/>
        <v>1.3888888890505768E-2</v>
      </c>
      <c r="D224" s="278">
        <v>2.0833333333333332E-2</v>
      </c>
      <c r="E224" s="329" t="s">
        <v>2</v>
      </c>
      <c r="F224" s="330"/>
      <c r="G224" s="330"/>
      <c r="H224" s="330"/>
      <c r="I224" s="330"/>
      <c r="J224" s="330"/>
      <c r="K224" s="330"/>
      <c r="L224" s="330"/>
      <c r="M224" s="330"/>
      <c r="N224" s="330"/>
      <c r="O224" s="330"/>
      <c r="P224" s="330"/>
      <c r="Q224" s="330"/>
      <c r="R224" s="330"/>
      <c r="S224" s="330"/>
      <c r="T224" s="330"/>
      <c r="U224" s="331"/>
      <c r="V224" s="247" t="e">
        <f>VLOOKUP(E224,Лист4!A$2:G$395,7,FALSE)</f>
        <v>#N/A</v>
      </c>
      <c r="W224" s="247">
        <f>IF(ISNA(V224),VLOOKUP(E224,категория!A$42:C$74,3,),6.94+R224*8.333/VLOOKUP(V224,категория!A$42:C$74,2,))</f>
        <v>4.17</v>
      </c>
    </row>
    <row r="225" spans="1:23" ht="15.75">
      <c r="A225" s="277">
        <v>43842.645833333336</v>
      </c>
      <c r="B225" s="277">
        <v>43842.680555555555</v>
      </c>
      <c r="C225" s="277">
        <f t="shared" si="11"/>
        <v>3.4722222218988463E-2</v>
      </c>
      <c r="D225" s="278">
        <v>4.1666666666666664E-2</v>
      </c>
      <c r="E225" s="329" t="s">
        <v>172</v>
      </c>
      <c r="F225" s="330"/>
      <c r="G225" s="330"/>
      <c r="H225" s="330"/>
      <c r="I225" s="330"/>
      <c r="J225" s="330"/>
      <c r="K225" s="330"/>
      <c r="L225" s="330"/>
      <c r="M225" s="330"/>
      <c r="N225" s="330"/>
      <c r="O225" s="330"/>
      <c r="P225" s="330"/>
      <c r="Q225" s="330"/>
      <c r="R225" s="330"/>
      <c r="S225" s="330"/>
      <c r="T225" s="330"/>
      <c r="U225" s="331"/>
      <c r="V225" s="247" t="e">
        <f>VLOOKUP(E225,Лист4!A$2:G$395,7,FALSE)</f>
        <v>#N/A</v>
      </c>
      <c r="W225" s="247">
        <f>IF(ISNA(V225),VLOOKUP(E225,категория!A$42:C$74,3,),6.94+R225*8.333/VLOOKUP(V225,категория!A$42:C$74,2,))</f>
        <v>16.670000000000002</v>
      </c>
    </row>
    <row r="226" spans="1:23" ht="15.75">
      <c r="A226" s="277">
        <v>43842.680555555555</v>
      </c>
      <c r="B226" s="277">
        <v>43842.715277777781</v>
      </c>
      <c r="C226" s="277">
        <f t="shared" si="11"/>
        <v>3.4722222226264421E-2</v>
      </c>
      <c r="D226" s="278">
        <v>6.9444444444444434E-2</v>
      </c>
      <c r="E226" s="329" t="s">
        <v>18</v>
      </c>
      <c r="F226" s="330"/>
      <c r="G226" s="330"/>
      <c r="H226" s="330"/>
      <c r="I226" s="330"/>
      <c r="J226" s="330"/>
      <c r="K226" s="330"/>
      <c r="L226" s="330"/>
      <c r="M226" s="330"/>
      <c r="N226" s="330"/>
      <c r="O226" s="330"/>
      <c r="P226" s="330"/>
      <c r="Q226" s="330"/>
      <c r="R226" s="330"/>
      <c r="S226" s="330"/>
      <c r="T226" s="330"/>
      <c r="U226" s="331"/>
      <c r="V226" s="247" t="e">
        <f>VLOOKUP(E226,Лист4!A$2:G$395,7,FALSE)</f>
        <v>#N/A</v>
      </c>
      <c r="W226" s="247">
        <f>IF(ISNA(V226),VLOOKUP(E226,категория!A$42:C$74,3,),6.94+R226*8.333/VLOOKUP(V226,категория!A$42:C$74,2,))</f>
        <v>13.9</v>
      </c>
    </row>
    <row r="227" spans="1:23" ht="15.75">
      <c r="A227" s="277">
        <v>43842.715277777781</v>
      </c>
      <c r="B227" s="277">
        <v>43842.725694444445</v>
      </c>
      <c r="C227" s="277">
        <f t="shared" si="11"/>
        <v>1.0416666664241347E-2</v>
      </c>
      <c r="D227" s="278">
        <v>2.0833333333333332E-2</v>
      </c>
      <c r="E227" s="329" t="s">
        <v>8</v>
      </c>
      <c r="F227" s="330"/>
      <c r="G227" s="330"/>
      <c r="H227" s="330"/>
      <c r="I227" s="330"/>
      <c r="J227" s="330"/>
      <c r="K227" s="330"/>
      <c r="L227" s="330"/>
      <c r="M227" s="330"/>
      <c r="N227" s="330"/>
      <c r="O227" s="330"/>
      <c r="P227" s="330"/>
      <c r="Q227" s="330"/>
      <c r="R227" s="330"/>
      <c r="S227" s="330"/>
      <c r="T227" s="330"/>
      <c r="U227" s="331"/>
      <c r="V227" s="247" t="e">
        <f>VLOOKUP(E227,Лист4!A$2:G$395,7,FALSE)</f>
        <v>#N/A</v>
      </c>
      <c r="W227" s="247">
        <f>IF(ISNA(V227),VLOOKUP(E227,категория!A$42:C$74,3,),6.94+R227*8.333/VLOOKUP(V227,категория!A$42:C$74,2,))</f>
        <v>4.17</v>
      </c>
    </row>
    <row r="228" spans="1:23" ht="27" customHeight="1">
      <c r="A228" s="277">
        <v>43842.725694444445</v>
      </c>
      <c r="B228" s="277">
        <v>43842.736111111109</v>
      </c>
      <c r="C228" s="277">
        <f t="shared" si="11"/>
        <v>1.0416666664241347E-2</v>
      </c>
      <c r="D228" s="278">
        <v>1.0416666666666666E-2</v>
      </c>
      <c r="E228" s="279">
        <v>47</v>
      </c>
      <c r="F228" s="280" t="s">
        <v>250</v>
      </c>
      <c r="G228" s="280" t="s">
        <v>449</v>
      </c>
      <c r="H228" s="281" t="s">
        <v>450</v>
      </c>
      <c r="I228" s="282">
        <v>43850</v>
      </c>
      <c r="J228" s="283"/>
      <c r="K228" s="279" t="s">
        <v>266</v>
      </c>
      <c r="L228" s="284"/>
      <c r="M228" s="285"/>
      <c r="N228" s="280" t="s">
        <v>48</v>
      </c>
      <c r="O228" s="279">
        <v>170</v>
      </c>
      <c r="P228" s="279" t="s">
        <v>236</v>
      </c>
      <c r="Q228" s="286" t="s">
        <v>229</v>
      </c>
      <c r="R228" s="287">
        <v>379</v>
      </c>
      <c r="S228" s="287">
        <v>694</v>
      </c>
      <c r="T228" s="283"/>
      <c r="U228" s="287" t="s">
        <v>76</v>
      </c>
      <c r="V228" s="247" t="str">
        <f>VLOOKUP(E228,Лист4!A$2:G$395,7,FALSE)</f>
        <v>мел+офсет</v>
      </c>
      <c r="W228" s="247">
        <f>IF(ISNA(V228),VLOOKUP(E228,категория!A$42:C$74,3,),6.94/4+R228*8.333/VLOOKUP(V228,категория!A$42:C$74,2,))</f>
        <v>2.3666414000000002</v>
      </c>
    </row>
    <row r="229" spans="1:23" ht="32.25" customHeight="1">
      <c r="A229" s="277">
        <v>43842.736111111109</v>
      </c>
      <c r="B229" s="277">
        <v>43842.739583333336</v>
      </c>
      <c r="C229" s="277">
        <f t="shared" si="11"/>
        <v>3.4722222262644209E-3</v>
      </c>
      <c r="D229" s="278">
        <v>1.0416666666666666E-2</v>
      </c>
      <c r="E229" s="329" t="s">
        <v>170</v>
      </c>
      <c r="F229" s="330"/>
      <c r="G229" s="330"/>
      <c r="H229" s="330"/>
      <c r="I229" s="330"/>
      <c r="J229" s="330"/>
      <c r="K229" s="330"/>
      <c r="L229" s="330"/>
      <c r="M229" s="330"/>
      <c r="N229" s="330"/>
      <c r="O229" s="330"/>
      <c r="P229" s="330"/>
      <c r="Q229" s="330"/>
      <c r="R229" s="330"/>
      <c r="S229" s="330"/>
      <c r="T229" s="330"/>
      <c r="U229" s="331"/>
      <c r="V229" s="247" t="e">
        <f>VLOOKUP(E229,Лист4!A$2:G$395,7,FALSE)</f>
        <v>#N/A</v>
      </c>
      <c r="W229" s="247">
        <f>IF(ISNA(V229),VLOOKUP(E229,категория!A$42:C$74,3,),6.94+R229*8.333/VLOOKUP(V229,категория!A$42:C$74,2,))</f>
        <v>2.085</v>
      </c>
    </row>
    <row r="230" spans="1:23" ht="15.75">
      <c r="A230" s="277">
        <v>43842.739583333336</v>
      </c>
      <c r="B230" s="277">
        <v>43842.746527777781</v>
      </c>
      <c r="C230" s="277">
        <f t="shared" si="11"/>
        <v>6.9444444452528842E-3</v>
      </c>
      <c r="D230" s="278">
        <v>3.472222222222222E-3</v>
      </c>
      <c r="E230" s="329" t="s">
        <v>327</v>
      </c>
      <c r="F230" s="330"/>
      <c r="G230" s="330"/>
      <c r="H230" s="330"/>
      <c r="I230" s="330"/>
      <c r="J230" s="330"/>
      <c r="K230" s="330"/>
      <c r="L230" s="330"/>
      <c r="M230" s="330"/>
      <c r="N230" s="330"/>
      <c r="O230" s="330"/>
      <c r="P230" s="330"/>
      <c r="Q230" s="330"/>
      <c r="R230" s="330"/>
      <c r="S230" s="330"/>
      <c r="T230" s="330"/>
      <c r="U230" s="331"/>
      <c r="V230" s="247" t="e">
        <f>VLOOKUP(E230,Лист4!A$2:G$395,7,FALSE)</f>
        <v>#N/A</v>
      </c>
      <c r="W230" s="247">
        <f>8.333*0.16</f>
        <v>1.33328</v>
      </c>
    </row>
    <row r="231" spans="1:23" ht="45" customHeight="1">
      <c r="A231" s="277">
        <v>43842.746527777781</v>
      </c>
      <c r="B231" s="277">
        <v>43842.760416666664</v>
      </c>
      <c r="C231" s="277">
        <f t="shared" si="11"/>
        <v>1.3888888883229811E-2</v>
      </c>
      <c r="D231" s="278">
        <v>1.3888888888888888E-2</v>
      </c>
      <c r="E231" s="279">
        <v>47</v>
      </c>
      <c r="F231" s="280" t="s">
        <v>250</v>
      </c>
      <c r="G231" s="280" t="s">
        <v>449</v>
      </c>
      <c r="H231" s="281" t="s">
        <v>451</v>
      </c>
      <c r="I231" s="282">
        <v>43850</v>
      </c>
      <c r="J231" s="283"/>
      <c r="K231" s="279" t="s">
        <v>227</v>
      </c>
      <c r="L231" s="284"/>
      <c r="M231" s="285"/>
      <c r="N231" s="280" t="s">
        <v>48</v>
      </c>
      <c r="O231" s="279">
        <v>170</v>
      </c>
      <c r="P231" s="279" t="s">
        <v>236</v>
      </c>
      <c r="Q231" s="286" t="s">
        <v>229</v>
      </c>
      <c r="R231" s="287">
        <v>450</v>
      </c>
      <c r="S231" s="287">
        <v>694</v>
      </c>
      <c r="T231" s="283"/>
      <c r="U231" s="287" t="s">
        <v>76</v>
      </c>
      <c r="V231" s="247" t="str">
        <f>VLOOKUP(E231,Лист4!A$2:G$395,7,FALSE)</f>
        <v>мел+офсет</v>
      </c>
      <c r="W231" s="247">
        <f>IF(ISNA(V231),VLOOKUP(E231,категория!A$42:C$74,3,),6.94+R231*8.333/VLOOKUP(V231,категория!A$42:C$74,2,))</f>
        <v>7.6899700000000006</v>
      </c>
    </row>
    <row r="232" spans="1:23" ht="33" customHeight="1">
      <c r="A232" s="277">
        <v>43842.760416666664</v>
      </c>
      <c r="B232" s="277">
        <v>43842.763888888891</v>
      </c>
      <c r="C232" s="277">
        <f t="shared" si="11"/>
        <v>3.4722222262644209E-3</v>
      </c>
      <c r="D232" s="278">
        <v>1.0416666666666666E-2</v>
      </c>
      <c r="E232" s="329" t="s">
        <v>170</v>
      </c>
      <c r="F232" s="330"/>
      <c r="G232" s="330"/>
      <c r="H232" s="330"/>
      <c r="I232" s="330"/>
      <c r="J232" s="330"/>
      <c r="K232" s="330"/>
      <c r="L232" s="330"/>
      <c r="M232" s="330"/>
      <c r="N232" s="330"/>
      <c r="O232" s="330"/>
      <c r="P232" s="330"/>
      <c r="Q232" s="330"/>
      <c r="R232" s="330"/>
      <c r="S232" s="330"/>
      <c r="T232" s="330"/>
      <c r="U232" s="331"/>
      <c r="V232" s="247" t="e">
        <f>VLOOKUP(E232,Лист4!A$2:G$395,7,FALSE)</f>
        <v>#N/A</v>
      </c>
      <c r="W232" s="247">
        <f>IF(ISNA(V232),VLOOKUP(E232,категория!A$42:C$74,3,),6.94+R232*8.333/VLOOKUP(V232,категория!A$42:C$74,2,))</f>
        <v>2.085</v>
      </c>
    </row>
    <row r="233" spans="1:23" ht="45" customHeight="1">
      <c r="A233" s="277">
        <v>43842.763888888891</v>
      </c>
      <c r="B233" s="277">
        <v>43842.78125</v>
      </c>
      <c r="C233" s="277">
        <f t="shared" si="11"/>
        <v>1.7361111109494232E-2</v>
      </c>
      <c r="D233" s="278">
        <v>1.7361111111111112E-2</v>
      </c>
      <c r="E233" s="279">
        <v>47</v>
      </c>
      <c r="F233" s="280" t="s">
        <v>250</v>
      </c>
      <c r="G233" s="280" t="s">
        <v>449</v>
      </c>
      <c r="H233" s="281" t="s">
        <v>268</v>
      </c>
      <c r="I233" s="282">
        <v>43850</v>
      </c>
      <c r="J233" s="283"/>
      <c r="K233" s="279" t="s">
        <v>227</v>
      </c>
      <c r="L233" s="284"/>
      <c r="M233" s="285"/>
      <c r="N233" s="280" t="s">
        <v>48</v>
      </c>
      <c r="O233" s="279">
        <v>170</v>
      </c>
      <c r="P233" s="279" t="s">
        <v>236</v>
      </c>
      <c r="Q233" s="286" t="s">
        <v>229</v>
      </c>
      <c r="R233" s="287">
        <v>379</v>
      </c>
      <c r="S233" s="287">
        <v>694</v>
      </c>
      <c r="T233" s="283"/>
      <c r="U233" s="287" t="s">
        <v>76</v>
      </c>
      <c r="V233" s="247" t="str">
        <f>VLOOKUP(E233,Лист4!A$2:G$395,7,FALSE)</f>
        <v>мел+офсет</v>
      </c>
      <c r="W233" s="247">
        <f>IF(ISNA(V233),VLOOKUP(E233,категория!A$42:C$74,3,),6.94+R233*8.333/VLOOKUP(V233,категория!A$42:C$74,2,))</f>
        <v>7.5716414000000007</v>
      </c>
    </row>
    <row r="234" spans="1:23" ht="15.75">
      <c r="A234" s="277">
        <v>43842.78125</v>
      </c>
      <c r="B234" s="277">
        <v>43842.784722222219</v>
      </c>
      <c r="C234" s="277">
        <f t="shared" si="11"/>
        <v>3.4722222189884633E-3</v>
      </c>
      <c r="D234" s="278">
        <v>3.4722222222222224E-2</v>
      </c>
      <c r="E234" s="329" t="s">
        <v>170</v>
      </c>
      <c r="F234" s="330"/>
      <c r="G234" s="330"/>
      <c r="H234" s="330"/>
      <c r="I234" s="330"/>
      <c r="J234" s="330"/>
      <c r="K234" s="330"/>
      <c r="L234" s="330"/>
      <c r="M234" s="330"/>
      <c r="N234" s="330"/>
      <c r="O234" s="330"/>
      <c r="P234" s="330"/>
      <c r="Q234" s="330"/>
      <c r="R234" s="330"/>
      <c r="S234" s="330"/>
      <c r="T234" s="330"/>
      <c r="U234" s="331"/>
      <c r="V234" s="247" t="e">
        <f>VLOOKUP(E234,Лист4!A$2:G$395,7,FALSE)</f>
        <v>#N/A</v>
      </c>
      <c r="W234" s="247">
        <f>IF(ISNA(V234),VLOOKUP(E234,категория!A$42:C$74,3,),6.94+R234*8.333/VLOOKUP(V234,категория!A$42:C$74,2,))</f>
        <v>2.085</v>
      </c>
    </row>
    <row r="235" spans="1:23" ht="15.75">
      <c r="A235" s="277">
        <v>43842.784722222219</v>
      </c>
      <c r="B235" s="277">
        <v>43842.833333333336</v>
      </c>
      <c r="C235" s="277">
        <f t="shared" si="11"/>
        <v>4.8611111116770189E-2</v>
      </c>
      <c r="D235" s="278">
        <v>3.472222222222222E-3</v>
      </c>
      <c r="E235" s="329" t="s">
        <v>237</v>
      </c>
      <c r="F235" s="330"/>
      <c r="G235" s="330"/>
      <c r="H235" s="330"/>
      <c r="I235" s="330"/>
      <c r="J235" s="330"/>
      <c r="K235" s="330"/>
      <c r="L235" s="330"/>
      <c r="M235" s="330"/>
      <c r="N235" s="330"/>
      <c r="O235" s="330"/>
      <c r="P235" s="330"/>
      <c r="Q235" s="330"/>
      <c r="R235" s="330"/>
      <c r="S235" s="330"/>
      <c r="T235" s="330"/>
      <c r="U235" s="331"/>
      <c r="V235" s="247" t="e">
        <f>VLOOKUP(E235,Лист4!A$2:G$395,7,FALSE)</f>
        <v>#N/A</v>
      </c>
      <c r="W235" s="247">
        <f>IF(ISNA(V235),VLOOKUP(E235,категория!A$42:C$74,3,),6.94+R235*8.333/VLOOKUP(V235,категория!A$42:C$74,2,))</f>
        <v>5.5553333333333335</v>
      </c>
    </row>
    <row r="236" spans="1:23" ht="15.75">
      <c r="A236" s="288">
        <v>43842.833333333336</v>
      </c>
      <c r="B236" s="332" t="s">
        <v>452</v>
      </c>
      <c r="C236" s="333"/>
      <c r="D236" s="334"/>
      <c r="E236" s="334"/>
      <c r="F236" s="334"/>
      <c r="G236" s="334"/>
      <c r="H236" s="334"/>
      <c r="I236" s="334"/>
      <c r="J236" s="334"/>
      <c r="K236" s="334"/>
      <c r="L236" s="334"/>
      <c r="M236" s="334"/>
      <c r="N236" s="334"/>
      <c r="O236" s="334"/>
      <c r="P236" s="334"/>
      <c r="Q236" s="334"/>
      <c r="R236" s="334"/>
      <c r="S236" s="334"/>
      <c r="T236" s="334"/>
      <c r="U236" s="335"/>
      <c r="V236" s="247" t="e">
        <f>VLOOKUP(E236,Лист4!A$2:G$395,7,FALSE)</f>
        <v>#N/A</v>
      </c>
      <c r="W236" s="52">
        <f>SUM(W210:W235)</f>
        <v>150.94396158787882</v>
      </c>
    </row>
    <row r="237" spans="1:23" ht="15.75">
      <c r="A237" s="277">
        <v>43842.833333333336</v>
      </c>
      <c r="B237" s="277">
        <v>43842.854166666664</v>
      </c>
      <c r="C237" s="277">
        <f>B237-A237</f>
        <v>2.0833333328482695E-2</v>
      </c>
      <c r="D237" s="278">
        <v>2.0833333333333332E-2</v>
      </c>
      <c r="E237" s="329" t="s">
        <v>22</v>
      </c>
      <c r="F237" s="330"/>
      <c r="G237" s="330"/>
      <c r="H237" s="330"/>
      <c r="I237" s="330"/>
      <c r="J237" s="330"/>
      <c r="K237" s="330"/>
      <c r="L237" s="330"/>
      <c r="M237" s="330"/>
      <c r="N237" s="330"/>
      <c r="O237" s="330"/>
      <c r="P237" s="330"/>
      <c r="Q237" s="330"/>
      <c r="R237" s="330"/>
      <c r="S237" s="330"/>
      <c r="T237" s="330"/>
      <c r="U237" s="331"/>
      <c r="V237" s="247" t="e">
        <f>VLOOKUP(E237,Лист4!A$2:G$395,7,FALSE)</f>
        <v>#N/A</v>
      </c>
      <c r="W237" s="247">
        <f>IF(ISNA(V237),VLOOKUP(E237,категория!A$42:C$74,3,),6.94+R237*8.333/VLOOKUP(V237,категория!A$42:C$74,2,))</f>
        <v>4.17</v>
      </c>
    </row>
    <row r="238" spans="1:23" ht="26.25" customHeight="1">
      <c r="A238" s="277">
        <v>43842.854166666664</v>
      </c>
      <c r="B238" s="277">
        <v>43842.881944444445</v>
      </c>
      <c r="C238" s="277">
        <f t="shared" ref="C238:C258" si="12">B238-A238</f>
        <v>2.7777777781011537E-2</v>
      </c>
      <c r="D238" s="278">
        <v>3.472222222222222E-3</v>
      </c>
      <c r="E238" s="329" t="s">
        <v>24</v>
      </c>
      <c r="F238" s="330"/>
      <c r="G238" s="330"/>
      <c r="H238" s="330"/>
      <c r="I238" s="330"/>
      <c r="J238" s="330"/>
      <c r="K238" s="330"/>
      <c r="L238" s="330"/>
      <c r="M238" s="330"/>
      <c r="N238" s="330"/>
      <c r="O238" s="330"/>
      <c r="P238" s="330"/>
      <c r="Q238" s="330"/>
      <c r="R238" s="330"/>
      <c r="S238" s="330"/>
      <c r="T238" s="330"/>
      <c r="U238" s="331"/>
      <c r="V238" s="247" t="e">
        <f>VLOOKUP(E238,Лист4!A$2:G$395,7,FALSE)</f>
        <v>#N/A</v>
      </c>
      <c r="W238" s="247">
        <f>IF(ISNA(V238),VLOOKUP(E238,категория!A$42:C$74,3,),6.94+R238*8.333/VLOOKUP(V238,категория!A$42:C$74,2,))</f>
        <v>3.47</v>
      </c>
    </row>
    <row r="239" spans="1:23" ht="24" customHeight="1">
      <c r="A239" s="277">
        <v>43842.881944444445</v>
      </c>
      <c r="B239" s="277">
        <v>43842.909722222219</v>
      </c>
      <c r="C239" s="277">
        <f t="shared" si="12"/>
        <v>2.7777777773735579E-2</v>
      </c>
      <c r="D239" s="278">
        <v>2.7777777777777776E-2</v>
      </c>
      <c r="E239" s="279">
        <v>47</v>
      </c>
      <c r="F239" s="280" t="s">
        <v>250</v>
      </c>
      <c r="G239" s="280" t="s">
        <v>449</v>
      </c>
      <c r="H239" s="281" t="s">
        <v>265</v>
      </c>
      <c r="I239" s="282">
        <v>43850</v>
      </c>
      <c r="J239" s="283"/>
      <c r="K239" s="279" t="s">
        <v>240</v>
      </c>
      <c r="L239" s="284"/>
      <c r="M239" s="285"/>
      <c r="N239" s="280" t="s">
        <v>48</v>
      </c>
      <c r="O239" s="279">
        <v>170</v>
      </c>
      <c r="P239" s="279" t="s">
        <v>236</v>
      </c>
      <c r="Q239" s="286" t="s">
        <v>229</v>
      </c>
      <c r="R239" s="287">
        <v>500</v>
      </c>
      <c r="S239" s="287">
        <v>694</v>
      </c>
      <c r="T239" s="283"/>
      <c r="U239" s="287" t="s">
        <v>230</v>
      </c>
      <c r="V239" s="247" t="str">
        <f>VLOOKUP(E239,Лист4!A$2:G$395,7,FALSE)</f>
        <v>мел+офсет</v>
      </c>
      <c r="W239" s="247">
        <f>IF(ISNA(V239),VLOOKUP(E239,категория!A$42:C$74,3,),6.94+R239*8.333/VLOOKUP(V239,категория!A$42:C$74,2,))</f>
        <v>7.7733000000000008</v>
      </c>
    </row>
    <row r="240" spans="1:23" ht="25.5" customHeight="1">
      <c r="A240" s="277">
        <v>43842.909722222219</v>
      </c>
      <c r="B240" s="277">
        <v>43842.916666666664</v>
      </c>
      <c r="C240" s="277">
        <f t="shared" si="12"/>
        <v>6.9444444452528842E-3</v>
      </c>
      <c r="D240" s="278">
        <v>1.0416666666666666E-2</v>
      </c>
      <c r="E240" s="329" t="s">
        <v>170</v>
      </c>
      <c r="F240" s="330"/>
      <c r="G240" s="330"/>
      <c r="H240" s="330"/>
      <c r="I240" s="330"/>
      <c r="J240" s="330"/>
      <c r="K240" s="330"/>
      <c r="L240" s="330"/>
      <c r="M240" s="330"/>
      <c r="N240" s="330"/>
      <c r="O240" s="330"/>
      <c r="P240" s="330"/>
      <c r="Q240" s="330"/>
      <c r="R240" s="330"/>
      <c r="S240" s="330"/>
      <c r="T240" s="330"/>
      <c r="U240" s="331"/>
      <c r="V240" s="247" t="e">
        <f>VLOOKUP(E240,Лист4!A$2:G$395,7,FALSE)</f>
        <v>#N/A</v>
      </c>
      <c r="W240" s="247">
        <f>IF(ISNA(V240),VLOOKUP(E240,категория!A$42:C$74,3,),6.94+R240*8.333/VLOOKUP(V240,категория!A$42:C$74,2,))</f>
        <v>2.085</v>
      </c>
    </row>
    <row r="241" spans="1:23" ht="15.75">
      <c r="A241" s="277">
        <v>43842.916666666664</v>
      </c>
      <c r="B241" s="277">
        <v>43842.958333333336</v>
      </c>
      <c r="C241" s="277">
        <f t="shared" si="12"/>
        <v>4.1666666671517305E-2</v>
      </c>
      <c r="D241" s="278">
        <v>3.472222222222222E-3</v>
      </c>
      <c r="E241" s="329" t="s">
        <v>24</v>
      </c>
      <c r="F241" s="330"/>
      <c r="G241" s="330"/>
      <c r="H241" s="330"/>
      <c r="I241" s="330"/>
      <c r="J241" s="330"/>
      <c r="K241" s="330"/>
      <c r="L241" s="330"/>
      <c r="M241" s="330"/>
      <c r="N241" s="330"/>
      <c r="O241" s="330"/>
      <c r="P241" s="330"/>
      <c r="Q241" s="330"/>
      <c r="R241" s="330"/>
      <c r="S241" s="330"/>
      <c r="T241" s="330"/>
      <c r="U241" s="331"/>
      <c r="V241" s="247" t="e">
        <f>VLOOKUP(E241,Лист4!A$2:G$395,7,FALSE)</f>
        <v>#N/A</v>
      </c>
      <c r="W241" s="247">
        <f>IF(ISNA(V241),VLOOKUP(E241,категория!A$42:C$74,3,),6.94+R241*8.333/VLOOKUP(V241,категория!A$42:C$74,2,))</f>
        <v>3.47</v>
      </c>
    </row>
    <row r="242" spans="1:23" ht="38.25" customHeight="1">
      <c r="A242" s="277">
        <v>43842.958333333336</v>
      </c>
      <c r="B242" s="277">
        <v>43842.979166666664</v>
      </c>
      <c r="C242" s="277">
        <f t="shared" si="12"/>
        <v>2.0833333328482695E-2</v>
      </c>
      <c r="D242" s="278">
        <v>2.0833333333333332E-2</v>
      </c>
      <c r="E242" s="279">
        <v>3493</v>
      </c>
      <c r="F242" s="280" t="s">
        <v>274</v>
      </c>
      <c r="G242" s="280" t="s">
        <v>453</v>
      </c>
      <c r="H242" s="281" t="s">
        <v>226</v>
      </c>
      <c r="I242" s="282">
        <v>43847</v>
      </c>
      <c r="J242" s="283"/>
      <c r="K242" s="279" t="s">
        <v>227</v>
      </c>
      <c r="L242" s="284"/>
      <c r="M242" s="285"/>
      <c r="N242" s="280" t="s">
        <v>41</v>
      </c>
      <c r="O242" s="279">
        <v>170</v>
      </c>
      <c r="P242" s="279" t="s">
        <v>236</v>
      </c>
      <c r="Q242" s="286" t="s">
        <v>229</v>
      </c>
      <c r="R242" s="287">
        <v>1150</v>
      </c>
      <c r="S242" s="287">
        <v>1340</v>
      </c>
      <c r="T242" s="283" t="s">
        <v>232</v>
      </c>
      <c r="U242" s="287" t="s">
        <v>230</v>
      </c>
      <c r="V242" s="247" t="str">
        <f>VLOOKUP(E242,Лист4!A$2:G$395,7,FALSE)</f>
        <v>мел+офсет</v>
      </c>
      <c r="W242" s="247">
        <f>IF(ISNA(V242),VLOOKUP(E242,категория!A$42:C$74,3,),6.94+R242*8.333/VLOOKUP(V242,категория!A$42:C$74,2,))</f>
        <v>8.8565900000000006</v>
      </c>
    </row>
    <row r="243" spans="1:23" ht="15.75">
      <c r="A243" s="277">
        <v>43842.979166666664</v>
      </c>
      <c r="B243" s="277">
        <v>43842.989583333336</v>
      </c>
      <c r="C243" s="277">
        <f t="shared" si="12"/>
        <v>1.0416666671517305E-2</v>
      </c>
      <c r="D243" s="278">
        <v>1.0416666666666666E-2</v>
      </c>
      <c r="E243" s="329" t="s">
        <v>170</v>
      </c>
      <c r="F243" s="330"/>
      <c r="G243" s="330"/>
      <c r="H243" s="330"/>
      <c r="I243" s="330"/>
      <c r="J243" s="330"/>
      <c r="K243" s="330"/>
      <c r="L243" s="330"/>
      <c r="M243" s="330"/>
      <c r="N243" s="330"/>
      <c r="O243" s="330"/>
      <c r="P243" s="330"/>
      <c r="Q243" s="330"/>
      <c r="R243" s="330"/>
      <c r="S243" s="330"/>
      <c r="T243" s="330"/>
      <c r="U243" s="331"/>
      <c r="V243" s="247" t="e">
        <f>VLOOKUP(E243,Лист4!A$2:G$395,7,FALSE)</f>
        <v>#N/A</v>
      </c>
      <c r="W243" s="247">
        <f>IF(ISNA(V243),VLOOKUP(E243,категория!A$42:C$74,3,),6.94+R243*8.333/VLOOKUP(V243,категория!A$42:C$74,2,))</f>
        <v>2.085</v>
      </c>
    </row>
    <row r="244" spans="1:23" ht="15.75">
      <c r="A244" s="277">
        <v>43842.989583333336</v>
      </c>
      <c r="B244" s="277">
        <v>43843.010416666664</v>
      </c>
      <c r="C244" s="277">
        <f t="shared" si="12"/>
        <v>2.0833333328482695E-2</v>
      </c>
      <c r="D244" s="278">
        <v>2.0833333333333332E-2</v>
      </c>
      <c r="E244" s="329" t="s">
        <v>23</v>
      </c>
      <c r="F244" s="330"/>
      <c r="G244" s="330"/>
      <c r="H244" s="330"/>
      <c r="I244" s="330"/>
      <c r="J244" s="330"/>
      <c r="K244" s="330"/>
      <c r="L244" s="330"/>
      <c r="M244" s="330"/>
      <c r="N244" s="330"/>
      <c r="O244" s="330"/>
      <c r="P244" s="330"/>
      <c r="Q244" s="330"/>
      <c r="R244" s="330"/>
      <c r="S244" s="330"/>
      <c r="T244" s="330"/>
      <c r="U244" s="331"/>
      <c r="V244" s="247" t="e">
        <f>VLOOKUP(E244,Лист4!A$2:G$395,7,FALSE)</f>
        <v>#N/A</v>
      </c>
      <c r="W244" s="247">
        <f>IF(ISNA(V244),VLOOKUP(E244,категория!A$42:C$74,3,),6.94+R244*8.333/VLOOKUP(V244,категория!A$42:C$74,2,))</f>
        <v>2.78</v>
      </c>
    </row>
    <row r="245" spans="1:23" ht="15.75">
      <c r="A245" s="277">
        <v>43843.010416666664</v>
      </c>
      <c r="B245" s="277">
        <v>43843.09375</v>
      </c>
      <c r="C245" s="277">
        <f t="shared" si="12"/>
        <v>8.3333333335758653E-2</v>
      </c>
      <c r="D245" s="278">
        <v>4.1666666666666664E-2</v>
      </c>
      <c r="E245" s="329" t="s">
        <v>454</v>
      </c>
      <c r="F245" s="330"/>
      <c r="G245" s="330"/>
      <c r="H245" s="330"/>
      <c r="I245" s="330"/>
      <c r="J245" s="330"/>
      <c r="K245" s="330"/>
      <c r="L245" s="330"/>
      <c r="M245" s="330"/>
      <c r="N245" s="330"/>
      <c r="O245" s="330"/>
      <c r="P245" s="330"/>
      <c r="Q245" s="330"/>
      <c r="R245" s="330"/>
      <c r="S245" s="330"/>
      <c r="T245" s="330"/>
      <c r="U245" s="331"/>
      <c r="V245" s="247" t="e">
        <f>VLOOKUP(E245,Лист4!A$2:G$395,7,FALSE)</f>
        <v>#N/A</v>
      </c>
      <c r="W245" s="247">
        <f>8.333*2</f>
        <v>16.666</v>
      </c>
    </row>
    <row r="246" spans="1:23" ht="60">
      <c r="A246" s="277">
        <v>43843.09375</v>
      </c>
      <c r="B246" s="277">
        <v>43843.114583333336</v>
      </c>
      <c r="C246" s="277">
        <f t="shared" si="12"/>
        <v>2.0833333335758653E-2</v>
      </c>
      <c r="D246" s="278">
        <v>2.0833333333333332E-2</v>
      </c>
      <c r="E246" s="279">
        <v>51</v>
      </c>
      <c r="F246" s="280" t="s">
        <v>284</v>
      </c>
      <c r="G246" s="280" t="s">
        <v>455</v>
      </c>
      <c r="H246" s="281" t="s">
        <v>226</v>
      </c>
      <c r="I246" s="282">
        <v>43847</v>
      </c>
      <c r="J246" s="283"/>
      <c r="K246" s="279" t="s">
        <v>227</v>
      </c>
      <c r="L246" s="284"/>
      <c r="M246" s="285"/>
      <c r="N246" s="280" t="s">
        <v>40</v>
      </c>
      <c r="O246" s="279">
        <v>270</v>
      </c>
      <c r="P246" s="279" t="s">
        <v>342</v>
      </c>
      <c r="Q246" s="286" t="s">
        <v>229</v>
      </c>
      <c r="R246" s="287">
        <v>700</v>
      </c>
      <c r="S246" s="287">
        <v>822</v>
      </c>
      <c r="T246" s="283" t="s">
        <v>232</v>
      </c>
      <c r="U246" s="287" t="s">
        <v>230</v>
      </c>
      <c r="V246" s="247" t="str">
        <f>VLOOKUP(E246,Лист4!A$2:G$395,7,FALSE)</f>
        <v>картон от 270</v>
      </c>
      <c r="W246" s="247">
        <f>IF(ISNA(V246),VLOOKUP(E246,категория!A$42:C$74,3,),6.94+R246*8.333/VLOOKUP(V246,категория!A$42:C$74,2,))</f>
        <v>8.9514137931034483</v>
      </c>
    </row>
    <row r="247" spans="1:23" ht="15.75">
      <c r="A247" s="277">
        <v>43843.114583333336</v>
      </c>
      <c r="B247" s="277">
        <v>43843.135416666664</v>
      </c>
      <c r="C247" s="277">
        <f t="shared" si="12"/>
        <v>2.0833333328482695E-2</v>
      </c>
      <c r="D247" s="278">
        <v>2.0833333333333332E-2</v>
      </c>
      <c r="E247" s="329" t="s">
        <v>2</v>
      </c>
      <c r="F247" s="330"/>
      <c r="G247" s="330"/>
      <c r="H247" s="330"/>
      <c r="I247" s="330"/>
      <c r="J247" s="330"/>
      <c r="K247" s="330"/>
      <c r="L247" s="330"/>
      <c r="M247" s="330"/>
      <c r="N247" s="330"/>
      <c r="O247" s="330"/>
      <c r="P247" s="330"/>
      <c r="Q247" s="330"/>
      <c r="R247" s="330"/>
      <c r="S247" s="330"/>
      <c r="T247" s="330"/>
      <c r="U247" s="331"/>
      <c r="V247" s="247" t="e">
        <f>VLOOKUP(E247,Лист4!A$2:G$395,7,FALSE)</f>
        <v>#N/A</v>
      </c>
      <c r="W247" s="247">
        <f>IF(ISNA(V247),VLOOKUP(E247,категория!A$42:C$74,3,),6.94+R247*8.333/VLOOKUP(V247,категория!A$42:C$74,2,))</f>
        <v>4.17</v>
      </c>
    </row>
    <row r="248" spans="1:23" ht="15.75">
      <c r="A248" s="277">
        <v>43843.135416666664</v>
      </c>
      <c r="B248" s="277">
        <v>43843.15625</v>
      </c>
      <c r="C248" s="277">
        <f t="shared" si="12"/>
        <v>2.0833333335758653E-2</v>
      </c>
      <c r="D248" s="278">
        <v>4.1666666666666664E-2</v>
      </c>
      <c r="E248" s="329" t="s">
        <v>456</v>
      </c>
      <c r="F248" s="330"/>
      <c r="G248" s="330"/>
      <c r="H248" s="330"/>
      <c r="I248" s="330"/>
      <c r="J248" s="330"/>
      <c r="K248" s="330"/>
      <c r="L248" s="330"/>
      <c r="M248" s="330"/>
      <c r="N248" s="330"/>
      <c r="O248" s="330"/>
      <c r="P248" s="330"/>
      <c r="Q248" s="330"/>
      <c r="R248" s="330"/>
      <c r="S248" s="330"/>
      <c r="T248" s="330"/>
      <c r="U248" s="331"/>
      <c r="V248" s="247" t="e">
        <f>VLOOKUP(E248,Лист4!A$2:G$395,7,FALSE)</f>
        <v>#N/A</v>
      </c>
      <c r="W248" s="247">
        <f>8.333*0.5</f>
        <v>4.1665000000000001</v>
      </c>
    </row>
    <row r="249" spans="1:23" ht="60">
      <c r="A249" s="336">
        <v>43843.15625</v>
      </c>
      <c r="B249" s="336">
        <v>43843.180555555555</v>
      </c>
      <c r="C249" s="277">
        <f t="shared" si="12"/>
        <v>2.4305555554747116E-2</v>
      </c>
      <c r="D249" s="338">
        <v>2.4305555555555556E-2</v>
      </c>
      <c r="E249" s="340">
        <v>3481</v>
      </c>
      <c r="F249" s="280" t="s">
        <v>313</v>
      </c>
      <c r="G249" s="280" t="s">
        <v>457</v>
      </c>
      <c r="H249" s="281" t="s">
        <v>349</v>
      </c>
      <c r="I249" s="282">
        <v>43846</v>
      </c>
      <c r="J249" s="283"/>
      <c r="K249" s="279" t="s">
        <v>227</v>
      </c>
      <c r="L249" s="284"/>
      <c r="M249" s="285"/>
      <c r="N249" s="280" t="s">
        <v>38</v>
      </c>
      <c r="O249" s="279">
        <v>170</v>
      </c>
      <c r="P249" s="279" t="s">
        <v>377</v>
      </c>
      <c r="Q249" s="286" t="s">
        <v>229</v>
      </c>
      <c r="R249" s="287">
        <v>380</v>
      </c>
      <c r="S249" s="287">
        <v>318</v>
      </c>
      <c r="T249" s="283" t="s">
        <v>232</v>
      </c>
      <c r="U249" s="287" t="s">
        <v>230</v>
      </c>
      <c r="V249" s="247" t="str">
        <f>VLOOKUP(E249,Лист4!A$2:G$395,7,FALSE)</f>
        <v>мел+офсет</v>
      </c>
      <c r="W249" s="247">
        <f>IF(ISNA(V249),VLOOKUP(E249,категория!A$42:C$74,3,),6.94+R249*8.333/VLOOKUP(V249,категория!A$42:C$74,2,))</f>
        <v>7.5733080000000008</v>
      </c>
    </row>
    <row r="250" spans="1:23" ht="33" customHeight="1">
      <c r="A250" s="337"/>
      <c r="B250" s="337"/>
      <c r="C250" s="277">
        <f t="shared" si="12"/>
        <v>0</v>
      </c>
      <c r="D250" s="339"/>
      <c r="E250" s="341"/>
      <c r="F250" s="342" t="s">
        <v>458</v>
      </c>
      <c r="G250" s="343"/>
      <c r="H250" s="343"/>
      <c r="I250" s="343"/>
      <c r="J250" s="343"/>
      <c r="K250" s="343"/>
      <c r="L250" s="343"/>
      <c r="M250" s="343"/>
      <c r="N250" s="343"/>
      <c r="O250" s="343"/>
      <c r="P250" s="343"/>
      <c r="Q250" s="343"/>
      <c r="R250" s="343"/>
      <c r="S250" s="343"/>
      <c r="T250" s="343"/>
      <c r="U250" s="344"/>
      <c r="V250" s="247" t="e">
        <f>VLOOKUP(E250,Лист4!A$2:G$395,7,FALSE)</f>
        <v>#N/A</v>
      </c>
      <c r="W250" s="247">
        <v>0</v>
      </c>
    </row>
    <row r="251" spans="1:23" ht="15.75">
      <c r="A251" s="277">
        <v>43843.180555555555</v>
      </c>
      <c r="B251" s="277">
        <v>43843.1875</v>
      </c>
      <c r="C251" s="277">
        <f t="shared" si="12"/>
        <v>6.9444444452528842E-3</v>
      </c>
      <c r="D251" s="278">
        <v>6.9444444444444441E-3</v>
      </c>
      <c r="E251" s="329" t="s">
        <v>170</v>
      </c>
      <c r="F251" s="330"/>
      <c r="G251" s="330"/>
      <c r="H251" s="330"/>
      <c r="I251" s="330"/>
      <c r="J251" s="330"/>
      <c r="K251" s="330"/>
      <c r="L251" s="330"/>
      <c r="M251" s="330"/>
      <c r="N251" s="330"/>
      <c r="O251" s="330"/>
      <c r="P251" s="330"/>
      <c r="Q251" s="330"/>
      <c r="R251" s="330"/>
      <c r="S251" s="330"/>
      <c r="T251" s="330"/>
      <c r="U251" s="331"/>
      <c r="V251" s="247" t="e">
        <f>VLOOKUP(E251,Лист4!A$2:G$395,7,FALSE)</f>
        <v>#N/A</v>
      </c>
      <c r="W251" s="247">
        <f>IF(ISNA(V251),VLOOKUP(E251,категория!A$42:C$74,3,),6.94+R251*8.333/VLOOKUP(V251,категория!A$42:C$74,2,))</f>
        <v>2.085</v>
      </c>
    </row>
    <row r="252" spans="1:23" ht="15.75">
      <c r="A252" s="277">
        <v>43843.1875</v>
      </c>
      <c r="B252" s="277">
        <v>43843.194444444445</v>
      </c>
      <c r="C252" s="277">
        <f t="shared" si="12"/>
        <v>6.9444444452528842E-3</v>
      </c>
      <c r="D252" s="278">
        <v>4.1666666666666664E-2</v>
      </c>
      <c r="E252" s="329" t="s">
        <v>7</v>
      </c>
      <c r="F252" s="330"/>
      <c r="G252" s="330"/>
      <c r="H252" s="330"/>
      <c r="I252" s="330"/>
      <c r="J252" s="330"/>
      <c r="K252" s="330"/>
      <c r="L252" s="330"/>
      <c r="M252" s="330"/>
      <c r="N252" s="330"/>
      <c r="O252" s="330"/>
      <c r="P252" s="330"/>
      <c r="Q252" s="330"/>
      <c r="R252" s="330"/>
      <c r="S252" s="330"/>
      <c r="T252" s="330"/>
      <c r="U252" s="331"/>
      <c r="V252" s="247" t="e">
        <f>VLOOKUP(E252,Лист4!A$2:G$395,7,FALSE)</f>
        <v>#N/A</v>
      </c>
      <c r="W252" s="247">
        <f>IF(ISNA(V252),VLOOKUP(E252,категория!A$42:C$74,3,),6.94+R252*8.333/VLOOKUP(V252,категория!A$42:C$74,2,))*0.16</f>
        <v>1.3333279999999998</v>
      </c>
    </row>
    <row r="253" spans="1:23" ht="60">
      <c r="A253" s="336">
        <v>43843.194444444445</v>
      </c>
      <c r="B253" s="336">
        <v>43843.236111111109</v>
      </c>
      <c r="C253" s="277">
        <f t="shared" si="12"/>
        <v>4.1666666664241347E-2</v>
      </c>
      <c r="D253" s="338">
        <v>4.1666666666666664E-2</v>
      </c>
      <c r="E253" s="340">
        <v>3481</v>
      </c>
      <c r="F253" s="280" t="s">
        <v>313</v>
      </c>
      <c r="G253" s="280" t="s">
        <v>457</v>
      </c>
      <c r="H253" s="281" t="s">
        <v>242</v>
      </c>
      <c r="I253" s="282">
        <v>43846</v>
      </c>
      <c r="J253" s="283"/>
      <c r="K253" s="279" t="s">
        <v>227</v>
      </c>
      <c r="L253" s="284"/>
      <c r="M253" s="285"/>
      <c r="N253" s="280" t="s">
        <v>38</v>
      </c>
      <c r="O253" s="279">
        <v>80</v>
      </c>
      <c r="P253" s="279" t="s">
        <v>377</v>
      </c>
      <c r="Q253" s="286" t="s">
        <v>229</v>
      </c>
      <c r="R253" s="287">
        <v>1545</v>
      </c>
      <c r="S253" s="287">
        <v>1905</v>
      </c>
      <c r="T253" s="283" t="s">
        <v>232</v>
      </c>
      <c r="U253" s="287" t="s">
        <v>230</v>
      </c>
      <c r="V253" s="247" t="str">
        <f>VLOOKUP(E253,Лист4!A$2:G$395,7,FALSE)</f>
        <v>мел+офсет</v>
      </c>
      <c r="W253" s="247">
        <f>IF(ISNA(V253),VLOOKUP(E253,категория!A$42:C$74,3,),6.94+R253*8.333/VLOOKUP(V253,категория!A$42:C$74,2,))</f>
        <v>9.5148970000000013</v>
      </c>
    </row>
    <row r="254" spans="1:23">
      <c r="A254" s="337"/>
      <c r="B254" s="337"/>
      <c r="C254" s="277">
        <f t="shared" si="12"/>
        <v>0</v>
      </c>
      <c r="D254" s="339"/>
      <c r="E254" s="341"/>
      <c r="F254" s="342" t="s">
        <v>458</v>
      </c>
      <c r="G254" s="343"/>
      <c r="H254" s="343"/>
      <c r="I254" s="343"/>
      <c r="J254" s="343"/>
      <c r="K254" s="343"/>
      <c r="L254" s="343"/>
      <c r="M254" s="343"/>
      <c r="N254" s="343"/>
      <c r="O254" s="343"/>
      <c r="P254" s="343"/>
      <c r="Q254" s="343"/>
      <c r="R254" s="343"/>
      <c r="S254" s="343"/>
      <c r="T254" s="343"/>
      <c r="U254" s="344"/>
      <c r="V254" s="247" t="e">
        <f>VLOOKUP(E254,Лист4!A$2:G$395,7,FALSE)</f>
        <v>#N/A</v>
      </c>
      <c r="W254" s="247">
        <v>0</v>
      </c>
    </row>
    <row r="255" spans="1:23" ht="15.75">
      <c r="A255" s="277">
        <v>43843.236111111109</v>
      </c>
      <c r="B255" s="277">
        <v>43843.260416666664</v>
      </c>
      <c r="C255" s="277">
        <f t="shared" si="12"/>
        <v>2.4305555554747116E-2</v>
      </c>
      <c r="D255" s="278">
        <v>3.472222222222222E-3</v>
      </c>
      <c r="E255" s="329" t="s">
        <v>237</v>
      </c>
      <c r="F255" s="330"/>
      <c r="G255" s="330"/>
      <c r="H255" s="330"/>
      <c r="I255" s="330"/>
      <c r="J255" s="330"/>
      <c r="K255" s="330"/>
      <c r="L255" s="330"/>
      <c r="M255" s="330"/>
      <c r="N255" s="330"/>
      <c r="O255" s="330"/>
      <c r="P255" s="330"/>
      <c r="Q255" s="330"/>
      <c r="R255" s="330"/>
      <c r="S255" s="330"/>
      <c r="T255" s="330"/>
      <c r="U255" s="331"/>
      <c r="V255" s="247" t="e">
        <f>VLOOKUP(E255,Лист4!A$2:G$395,7,FALSE)</f>
        <v>#N/A</v>
      </c>
      <c r="W255" s="247">
        <f>IF(ISNA(V255),VLOOKUP(E255,категория!A$42:C$74,3,),6.94+R255*8.333/VLOOKUP(V255,категория!A$42:C$74,2,))</f>
        <v>5.5553333333333335</v>
      </c>
    </row>
    <row r="256" spans="1:23" ht="60">
      <c r="A256" s="277">
        <v>43843.260416666664</v>
      </c>
      <c r="B256" s="277">
        <v>43843.284722222219</v>
      </c>
      <c r="C256" s="277">
        <f t="shared" si="12"/>
        <v>2.4305555554747116E-2</v>
      </c>
      <c r="D256" s="278">
        <v>2.4305555555555556E-2</v>
      </c>
      <c r="E256" s="279">
        <v>3481</v>
      </c>
      <c r="F256" s="280" t="s">
        <v>313</v>
      </c>
      <c r="G256" s="280" t="s">
        <v>457</v>
      </c>
      <c r="H256" s="281" t="s">
        <v>239</v>
      </c>
      <c r="I256" s="282">
        <v>43846</v>
      </c>
      <c r="J256" s="283"/>
      <c r="K256" s="279" t="s">
        <v>240</v>
      </c>
      <c r="L256" s="284"/>
      <c r="M256" s="285"/>
      <c r="N256" s="280" t="s">
        <v>38</v>
      </c>
      <c r="O256" s="279">
        <v>80</v>
      </c>
      <c r="P256" s="279" t="s">
        <v>377</v>
      </c>
      <c r="Q256" s="286" t="s">
        <v>229</v>
      </c>
      <c r="R256" s="287">
        <v>1700</v>
      </c>
      <c r="S256" s="287">
        <v>1905</v>
      </c>
      <c r="T256" s="283" t="s">
        <v>232</v>
      </c>
      <c r="U256" s="287" t="s">
        <v>230</v>
      </c>
      <c r="V256" s="247" t="str">
        <f>VLOOKUP(E256,Лист4!A$2:G$395,7,FALSE)</f>
        <v>мел+офсет</v>
      </c>
      <c r="W256" s="247">
        <f>IF(ISNA(V256),VLOOKUP(E256,категория!A$42:C$74,3,),6.94+R256*8.333/VLOOKUP(V256,категория!A$42:C$74,2,))</f>
        <v>9.7732200000000002</v>
      </c>
    </row>
    <row r="257" spans="1:23" ht="15.75">
      <c r="A257" s="277">
        <v>43843.284722222219</v>
      </c>
      <c r="B257" s="277">
        <v>43843.291666666664</v>
      </c>
      <c r="C257" s="277">
        <f t="shared" si="12"/>
        <v>6.9444444452528842E-3</v>
      </c>
      <c r="D257" s="278">
        <v>1.0416666666666666E-2</v>
      </c>
      <c r="E257" s="329" t="s">
        <v>170</v>
      </c>
      <c r="F257" s="330"/>
      <c r="G257" s="330"/>
      <c r="H257" s="330"/>
      <c r="I257" s="330"/>
      <c r="J257" s="330"/>
      <c r="K257" s="330"/>
      <c r="L257" s="330"/>
      <c r="M257" s="330"/>
      <c r="N257" s="330"/>
      <c r="O257" s="330"/>
      <c r="P257" s="330"/>
      <c r="Q257" s="330"/>
      <c r="R257" s="330"/>
      <c r="S257" s="330"/>
      <c r="T257" s="330"/>
      <c r="U257" s="331"/>
      <c r="V257" s="247" t="e">
        <f>VLOOKUP(E257,Лист4!A$2:G$395,7,FALSE)</f>
        <v>#N/A</v>
      </c>
      <c r="W257" s="247">
        <f>IF(ISNA(V257),VLOOKUP(E257,категория!A$42:C$74,3,),6.94+R257*8.333/VLOOKUP(V257,категория!A$42:C$74,2,))</f>
        <v>2.085</v>
      </c>
    </row>
    <row r="258" spans="1:23" ht="15.75">
      <c r="A258" s="277">
        <v>43843.291666666664</v>
      </c>
      <c r="B258" s="277">
        <v>43843.333333333336</v>
      </c>
      <c r="C258" s="277">
        <f t="shared" si="12"/>
        <v>4.1666666671517305E-2</v>
      </c>
      <c r="D258" s="278">
        <v>0.5</v>
      </c>
      <c r="E258" s="329" t="s">
        <v>339</v>
      </c>
      <c r="F258" s="330"/>
      <c r="G258" s="330"/>
      <c r="H258" s="330"/>
      <c r="I258" s="330"/>
      <c r="J258" s="330"/>
      <c r="K258" s="330"/>
      <c r="L258" s="330"/>
      <c r="M258" s="330"/>
      <c r="N258" s="330"/>
      <c r="O258" s="330"/>
      <c r="P258" s="330"/>
      <c r="Q258" s="330"/>
      <c r="R258" s="330"/>
      <c r="S258" s="330"/>
      <c r="T258" s="330"/>
      <c r="U258" s="331"/>
      <c r="V258" s="247" t="e">
        <f>VLOOKUP(E258,Лист4!A$2:G$395,7,FALSE)</f>
        <v>#N/A</v>
      </c>
      <c r="W258" s="52">
        <f>SUM(W237:W257)</f>
        <v>106.56389012643676</v>
      </c>
    </row>
    <row r="259" spans="1:23" ht="15.75">
      <c r="A259" s="288">
        <v>43843.333333333336</v>
      </c>
      <c r="B259" s="332" t="s">
        <v>459</v>
      </c>
      <c r="C259" s="333"/>
      <c r="D259" s="334"/>
      <c r="E259" s="334"/>
      <c r="F259" s="334"/>
      <c r="G259" s="334"/>
      <c r="H259" s="334"/>
      <c r="I259" s="334"/>
      <c r="J259" s="334"/>
      <c r="K259" s="334"/>
      <c r="L259" s="334"/>
      <c r="M259" s="334"/>
      <c r="N259" s="334"/>
      <c r="O259" s="334"/>
      <c r="P259" s="334"/>
      <c r="Q259" s="334"/>
      <c r="R259" s="334"/>
      <c r="S259" s="334"/>
      <c r="T259" s="334"/>
      <c r="U259" s="335"/>
      <c r="V259" s="247" t="e">
        <f>VLOOKUP(E259,Лист4!A$2:G$395,7,FALSE)</f>
        <v>#N/A</v>
      </c>
      <c r="W259" s="247" t="e">
        <f>IF(ISNA(V259),VLOOKUP(E259,категория!A$42:C$74,3,),6.94+R259*8.333/VLOOKUP(V259,категория!A$42:C$74,2,))</f>
        <v>#N/A</v>
      </c>
    </row>
    <row r="260" spans="1:23" ht="15.75">
      <c r="A260" s="277">
        <v>43843.333333333336</v>
      </c>
      <c r="B260" s="277">
        <v>43843.354166666664</v>
      </c>
      <c r="C260" s="277">
        <f>B260-A260</f>
        <v>2.0833333328482695E-2</v>
      </c>
      <c r="D260" s="278">
        <v>2.0833333333333332E-2</v>
      </c>
      <c r="E260" s="329" t="s">
        <v>22</v>
      </c>
      <c r="F260" s="330"/>
      <c r="G260" s="330"/>
      <c r="H260" s="330"/>
      <c r="I260" s="330"/>
      <c r="J260" s="330"/>
      <c r="K260" s="330"/>
      <c r="L260" s="330"/>
      <c r="M260" s="330"/>
      <c r="N260" s="330"/>
      <c r="O260" s="330"/>
      <c r="P260" s="330"/>
      <c r="Q260" s="330"/>
      <c r="R260" s="330"/>
      <c r="S260" s="330"/>
      <c r="T260" s="330"/>
      <c r="U260" s="331"/>
      <c r="V260" s="247" t="e">
        <f>VLOOKUP(E260,Лист4!A$2:G$395,7,FALSE)</f>
        <v>#N/A</v>
      </c>
      <c r="W260" s="247">
        <f>IF(ISNA(V260),VLOOKUP(E260,категория!A$42:C$74,3,),6.94+R260*8.333/VLOOKUP(V260,категория!A$42:C$74,2,))</f>
        <v>4.17</v>
      </c>
    </row>
    <row r="261" spans="1:23" ht="15.75">
      <c r="A261" s="277">
        <v>43843.354166666664</v>
      </c>
      <c r="B261" s="277">
        <v>43843.395833333336</v>
      </c>
      <c r="C261" s="277">
        <f t="shared" ref="C261:C281" si="13">B261-A261</f>
        <v>4.1666666671517305E-2</v>
      </c>
      <c r="D261" s="278">
        <v>4.1666666666666664E-2</v>
      </c>
      <c r="E261" s="329" t="s">
        <v>460</v>
      </c>
      <c r="F261" s="330"/>
      <c r="G261" s="330"/>
      <c r="H261" s="330"/>
      <c r="I261" s="330"/>
      <c r="J261" s="330"/>
      <c r="K261" s="330"/>
      <c r="L261" s="330"/>
      <c r="M261" s="330"/>
      <c r="N261" s="330"/>
      <c r="O261" s="330"/>
      <c r="P261" s="330"/>
      <c r="Q261" s="330"/>
      <c r="R261" s="330"/>
      <c r="S261" s="330"/>
      <c r="T261" s="330"/>
      <c r="U261" s="331"/>
      <c r="V261" s="247" t="e">
        <f>VLOOKUP(E261,Лист4!A$2:G$395,7,FALSE)</f>
        <v>#N/A</v>
      </c>
      <c r="W261" s="247">
        <f>8.333</f>
        <v>8.3330000000000002</v>
      </c>
    </row>
    <row r="262" spans="1:23" ht="60">
      <c r="A262" s="336">
        <v>43843.395833333336</v>
      </c>
      <c r="B262" s="336">
        <v>43843.40625</v>
      </c>
      <c r="C262" s="277">
        <f t="shared" si="13"/>
        <v>1.0416666664241347E-2</v>
      </c>
      <c r="D262" s="338">
        <v>1.0416666666666666E-2</v>
      </c>
      <c r="E262" s="340">
        <v>3481</v>
      </c>
      <c r="F262" s="280" t="s">
        <v>313</v>
      </c>
      <c r="G262" s="280" t="s">
        <v>457</v>
      </c>
      <c r="H262" s="281" t="s">
        <v>461</v>
      </c>
      <c r="I262" s="282">
        <v>43846</v>
      </c>
      <c r="J262" s="283"/>
      <c r="K262" s="279" t="s">
        <v>227</v>
      </c>
      <c r="L262" s="284"/>
      <c r="M262" s="285"/>
      <c r="N262" s="280" t="s">
        <v>38</v>
      </c>
      <c r="O262" s="279">
        <v>80</v>
      </c>
      <c r="P262" s="279" t="s">
        <v>377</v>
      </c>
      <c r="Q262" s="286" t="s">
        <v>229</v>
      </c>
      <c r="R262" s="287">
        <v>290</v>
      </c>
      <c r="S262" s="287">
        <v>600</v>
      </c>
      <c r="T262" s="283" t="s">
        <v>232</v>
      </c>
      <c r="U262" s="287" t="s">
        <v>76</v>
      </c>
      <c r="V262" s="247" t="str">
        <f>VLOOKUP(E262,Лист4!A$2:G$395,7,FALSE)</f>
        <v>мел+офсет</v>
      </c>
      <c r="W262" s="247">
        <f>IF(ISNA(V262),VLOOKUP(E262,категория!A$42:C$74,3,),6.94+R262*8.333/VLOOKUP(V262,категория!A$42:C$74,2,))</f>
        <v>7.4233140000000004</v>
      </c>
    </row>
    <row r="263" spans="1:23">
      <c r="A263" s="337"/>
      <c r="B263" s="337"/>
      <c r="C263" s="277">
        <f t="shared" si="13"/>
        <v>0</v>
      </c>
      <c r="D263" s="339"/>
      <c r="E263" s="341"/>
      <c r="F263" s="342" t="s">
        <v>458</v>
      </c>
      <c r="G263" s="343"/>
      <c r="H263" s="343"/>
      <c r="I263" s="343"/>
      <c r="J263" s="343"/>
      <c r="K263" s="343"/>
      <c r="L263" s="343"/>
      <c r="M263" s="343"/>
      <c r="N263" s="343"/>
      <c r="O263" s="343"/>
      <c r="P263" s="343"/>
      <c r="Q263" s="343"/>
      <c r="R263" s="343"/>
      <c r="S263" s="343"/>
      <c r="T263" s="343"/>
      <c r="U263" s="344"/>
      <c r="V263" s="247" t="e">
        <f>VLOOKUP(E263,Лист4!A$2:G$395,7,FALSE)</f>
        <v>#N/A</v>
      </c>
      <c r="W263" s="247">
        <v>0</v>
      </c>
    </row>
    <row r="264" spans="1:23" ht="15.75">
      <c r="A264" s="277">
        <v>43843.40625</v>
      </c>
      <c r="B264" s="277">
        <v>43843.409722222219</v>
      </c>
      <c r="C264" s="277">
        <f t="shared" si="13"/>
        <v>3.4722222189884633E-3</v>
      </c>
      <c r="D264" s="278">
        <v>1.0416666666666666E-2</v>
      </c>
      <c r="E264" s="329" t="s">
        <v>170</v>
      </c>
      <c r="F264" s="330"/>
      <c r="G264" s="330"/>
      <c r="H264" s="330"/>
      <c r="I264" s="330"/>
      <c r="J264" s="330"/>
      <c r="K264" s="330"/>
      <c r="L264" s="330"/>
      <c r="M264" s="330"/>
      <c r="N264" s="330"/>
      <c r="O264" s="330"/>
      <c r="P264" s="330"/>
      <c r="Q264" s="330"/>
      <c r="R264" s="330"/>
      <c r="S264" s="330"/>
      <c r="T264" s="330"/>
      <c r="U264" s="331"/>
      <c r="V264" s="247" t="e">
        <f>VLOOKUP(E264,Лист4!A$2:G$395,7,FALSE)</f>
        <v>#N/A</v>
      </c>
      <c r="W264" s="247">
        <f>IF(ISNA(V264),VLOOKUP(E264,категория!A$42:C$74,3,),6.94+R264*8.333/VLOOKUP(V264,категория!A$42:C$74,2,))</f>
        <v>2.085</v>
      </c>
    </row>
    <row r="265" spans="1:23" ht="60">
      <c r="A265" s="277">
        <v>43843.409722222219</v>
      </c>
      <c r="B265" s="277">
        <v>43843.420138888891</v>
      </c>
      <c r="C265" s="277">
        <f t="shared" si="13"/>
        <v>1.0416666671517305E-2</v>
      </c>
      <c r="D265" s="278">
        <v>1.0416666666666666E-2</v>
      </c>
      <c r="E265" s="279">
        <v>3481</v>
      </c>
      <c r="F265" s="280" t="s">
        <v>313</v>
      </c>
      <c r="G265" s="280" t="s">
        <v>457</v>
      </c>
      <c r="H265" s="281" t="s">
        <v>462</v>
      </c>
      <c r="I265" s="282">
        <v>43846</v>
      </c>
      <c r="J265" s="283"/>
      <c r="K265" s="279" t="s">
        <v>227</v>
      </c>
      <c r="L265" s="284"/>
      <c r="M265" s="285"/>
      <c r="N265" s="280" t="s">
        <v>38</v>
      </c>
      <c r="O265" s="279">
        <v>80</v>
      </c>
      <c r="P265" s="279" t="s">
        <v>377</v>
      </c>
      <c r="Q265" s="286" t="s">
        <v>229</v>
      </c>
      <c r="R265" s="287">
        <v>290</v>
      </c>
      <c r="S265" s="287">
        <v>600</v>
      </c>
      <c r="T265" s="283" t="s">
        <v>232</v>
      </c>
      <c r="U265" s="287" t="s">
        <v>76</v>
      </c>
      <c r="V265" s="247" t="str">
        <f>VLOOKUP(E265,Лист4!A$2:G$395,7,FALSE)</f>
        <v>мел+офсет</v>
      </c>
      <c r="W265" s="247">
        <f>IF(ISNA(V265),VLOOKUP(E265,категория!A$42:C$74,3,),6.94+R265*8.333/VLOOKUP(V265,категория!A$42:C$74,2,))</f>
        <v>7.4233140000000004</v>
      </c>
    </row>
    <row r="266" spans="1:23" ht="60">
      <c r="A266" s="277">
        <v>43843.420138888891</v>
      </c>
      <c r="B266" s="277">
        <v>43843.430555555555</v>
      </c>
      <c r="C266" s="277">
        <f t="shared" si="13"/>
        <v>1.0416666664241347E-2</v>
      </c>
      <c r="D266" s="278">
        <v>1.0416666666666666E-2</v>
      </c>
      <c r="E266" s="279">
        <v>3481</v>
      </c>
      <c r="F266" s="280" t="s">
        <v>313</v>
      </c>
      <c r="G266" s="280" t="s">
        <v>457</v>
      </c>
      <c r="H266" s="281" t="s">
        <v>463</v>
      </c>
      <c r="I266" s="282">
        <v>43846</v>
      </c>
      <c r="J266" s="283"/>
      <c r="K266" s="279" t="s">
        <v>227</v>
      </c>
      <c r="L266" s="284"/>
      <c r="M266" s="285"/>
      <c r="N266" s="280" t="s">
        <v>38</v>
      </c>
      <c r="O266" s="279">
        <v>80</v>
      </c>
      <c r="P266" s="279" t="s">
        <v>377</v>
      </c>
      <c r="Q266" s="286" t="s">
        <v>229</v>
      </c>
      <c r="R266" s="287">
        <v>290</v>
      </c>
      <c r="S266" s="287">
        <v>600</v>
      </c>
      <c r="T266" s="283" t="s">
        <v>232</v>
      </c>
      <c r="U266" s="287" t="s">
        <v>76</v>
      </c>
      <c r="V266" s="247" t="str">
        <f>VLOOKUP(E266,Лист4!A$2:G$395,7,FALSE)</f>
        <v>мел+офсет</v>
      </c>
      <c r="W266" s="247">
        <f>IF(ISNA(V266),VLOOKUP(E266,категория!A$42:C$74,3,),6.94+R266*8.333/VLOOKUP(V266,категория!A$42:C$74,2,))</f>
        <v>7.4233140000000004</v>
      </c>
    </row>
    <row r="267" spans="1:23" ht="15.75">
      <c r="A267" s="277">
        <v>43843.430555555555</v>
      </c>
      <c r="B267" s="277">
        <v>43843.434027777781</v>
      </c>
      <c r="C267" s="277">
        <f t="shared" si="13"/>
        <v>3.4722222262644209E-3</v>
      </c>
      <c r="D267" s="278">
        <v>1.0416666666666666E-2</v>
      </c>
      <c r="E267" s="329" t="s">
        <v>170</v>
      </c>
      <c r="F267" s="330"/>
      <c r="G267" s="330"/>
      <c r="H267" s="330"/>
      <c r="I267" s="330"/>
      <c r="J267" s="330"/>
      <c r="K267" s="330"/>
      <c r="L267" s="330"/>
      <c r="M267" s="330"/>
      <c r="N267" s="330"/>
      <c r="O267" s="330"/>
      <c r="P267" s="330"/>
      <c r="Q267" s="330"/>
      <c r="R267" s="330"/>
      <c r="S267" s="330"/>
      <c r="T267" s="330"/>
      <c r="U267" s="331"/>
      <c r="V267" s="247" t="e">
        <f>VLOOKUP(E267,Лист4!A$2:G$395,7,FALSE)</f>
        <v>#N/A</v>
      </c>
      <c r="W267" s="247">
        <f>IF(ISNA(V267),VLOOKUP(E267,категория!A$42:C$74,3,),6.94+R267*8.333/VLOOKUP(V267,категория!A$42:C$74,2,))</f>
        <v>2.085</v>
      </c>
    </row>
    <row r="268" spans="1:23" ht="15.75">
      <c r="A268" s="277">
        <v>43843.434027777781</v>
      </c>
      <c r="B268" s="277">
        <v>43843.440972222219</v>
      </c>
      <c r="C268" s="277">
        <f t="shared" si="13"/>
        <v>6.9444444379769266E-3</v>
      </c>
      <c r="D268" s="278">
        <v>3.472222222222222E-3</v>
      </c>
      <c r="E268" s="329" t="s">
        <v>327</v>
      </c>
      <c r="F268" s="330"/>
      <c r="G268" s="330"/>
      <c r="H268" s="330"/>
      <c r="I268" s="330"/>
      <c r="J268" s="330"/>
      <c r="K268" s="330"/>
      <c r="L268" s="330"/>
      <c r="M268" s="330"/>
      <c r="N268" s="330"/>
      <c r="O268" s="330"/>
      <c r="P268" s="330"/>
      <c r="Q268" s="330"/>
      <c r="R268" s="330"/>
      <c r="S268" s="330"/>
      <c r="T268" s="330"/>
      <c r="U268" s="331"/>
      <c r="V268" s="247" t="e">
        <f>VLOOKUP(E268,Лист4!A$2:G$395,7,FALSE)</f>
        <v>#N/A</v>
      </c>
      <c r="W268" s="247">
        <f>8.33*0.16</f>
        <v>1.3328</v>
      </c>
    </row>
    <row r="269" spans="1:23" ht="60">
      <c r="A269" s="277">
        <v>43843.440972222219</v>
      </c>
      <c r="B269" s="277">
        <v>43843.451388888891</v>
      </c>
      <c r="C269" s="277">
        <f t="shared" si="13"/>
        <v>1.0416666671517305E-2</v>
      </c>
      <c r="D269" s="278">
        <v>1.0416666666666666E-2</v>
      </c>
      <c r="E269" s="279">
        <v>3481</v>
      </c>
      <c r="F269" s="280" t="s">
        <v>313</v>
      </c>
      <c r="G269" s="280" t="s">
        <v>457</v>
      </c>
      <c r="H269" s="281" t="s">
        <v>464</v>
      </c>
      <c r="I269" s="282">
        <v>43846</v>
      </c>
      <c r="J269" s="283"/>
      <c r="K269" s="279" t="s">
        <v>240</v>
      </c>
      <c r="L269" s="284"/>
      <c r="M269" s="285"/>
      <c r="N269" s="280" t="s">
        <v>38</v>
      </c>
      <c r="O269" s="279">
        <v>80</v>
      </c>
      <c r="P269" s="279" t="s">
        <v>377</v>
      </c>
      <c r="Q269" s="286" t="s">
        <v>229</v>
      </c>
      <c r="R269" s="287">
        <v>500</v>
      </c>
      <c r="S269" s="287">
        <v>600</v>
      </c>
      <c r="T269" s="283" t="s">
        <v>232</v>
      </c>
      <c r="U269" s="287" t="s">
        <v>76</v>
      </c>
      <c r="V269" s="247" t="str">
        <f>VLOOKUP(E269,Лист4!A$2:G$395,7,FALSE)</f>
        <v>мел+офсет</v>
      </c>
      <c r="W269" s="247">
        <f>IF(ISNA(V269),VLOOKUP(E269,категория!A$42:C$74,3,),6.94+R269*8.333/VLOOKUP(V269,категория!A$42:C$74,2,))</f>
        <v>7.7733000000000008</v>
      </c>
    </row>
    <row r="270" spans="1:23" ht="15.75">
      <c r="A270" s="277">
        <v>43843.451388888891</v>
      </c>
      <c r="B270" s="277">
        <v>43843.454861111109</v>
      </c>
      <c r="C270" s="277">
        <f t="shared" si="13"/>
        <v>3.4722222189884633E-3</v>
      </c>
      <c r="D270" s="278">
        <v>1.0416666666666666E-2</v>
      </c>
      <c r="E270" s="329" t="s">
        <v>170</v>
      </c>
      <c r="F270" s="330"/>
      <c r="G270" s="330"/>
      <c r="H270" s="330"/>
      <c r="I270" s="330"/>
      <c r="J270" s="330"/>
      <c r="K270" s="330"/>
      <c r="L270" s="330"/>
      <c r="M270" s="330"/>
      <c r="N270" s="330"/>
      <c r="O270" s="330"/>
      <c r="P270" s="330"/>
      <c r="Q270" s="330"/>
      <c r="R270" s="330"/>
      <c r="S270" s="330"/>
      <c r="T270" s="330"/>
      <c r="U270" s="331"/>
      <c r="V270" s="247" t="e">
        <f>VLOOKUP(E270,Лист4!A$2:G$395,7,FALSE)</f>
        <v>#N/A</v>
      </c>
      <c r="W270" s="247">
        <f>IF(ISNA(V270),VLOOKUP(E270,категория!A$42:C$74,3,),6.94+R270*8.333/VLOOKUP(V270,категория!A$42:C$74,2,))</f>
        <v>2.085</v>
      </c>
    </row>
    <row r="271" spans="1:23" ht="15.75">
      <c r="A271" s="277">
        <v>43843.454861111109</v>
      </c>
      <c r="B271" s="277">
        <v>43843.465277777781</v>
      </c>
      <c r="C271" s="277">
        <f t="shared" si="13"/>
        <v>1.0416666671517305E-2</v>
      </c>
      <c r="D271" s="278">
        <v>3.472222222222222E-3</v>
      </c>
      <c r="E271" s="329" t="s">
        <v>327</v>
      </c>
      <c r="F271" s="330"/>
      <c r="G271" s="330"/>
      <c r="H271" s="330"/>
      <c r="I271" s="330"/>
      <c r="J271" s="330"/>
      <c r="K271" s="330"/>
      <c r="L271" s="330"/>
      <c r="M271" s="330"/>
      <c r="N271" s="330"/>
      <c r="O271" s="330"/>
      <c r="P271" s="330"/>
      <c r="Q271" s="330"/>
      <c r="R271" s="330"/>
      <c r="S271" s="330"/>
      <c r="T271" s="330"/>
      <c r="U271" s="331"/>
      <c r="V271" s="247" t="e">
        <f>VLOOKUP(E271,Лист4!A$2:G$395,7,FALSE)</f>
        <v>#N/A</v>
      </c>
      <c r="W271" s="247">
        <f>8.333*0.25</f>
        <v>2.08325</v>
      </c>
    </row>
    <row r="272" spans="1:23" ht="60">
      <c r="A272" s="277">
        <v>43843.465277777781</v>
      </c>
      <c r="B272" s="277">
        <v>43843.475694444445</v>
      </c>
      <c r="C272" s="277">
        <f t="shared" si="13"/>
        <v>1.0416666664241347E-2</v>
      </c>
      <c r="D272" s="278">
        <v>1.0416666666666666E-2</v>
      </c>
      <c r="E272" s="279">
        <v>3481</v>
      </c>
      <c r="F272" s="280" t="s">
        <v>313</v>
      </c>
      <c r="G272" s="280" t="s">
        <v>457</v>
      </c>
      <c r="H272" s="281" t="s">
        <v>465</v>
      </c>
      <c r="I272" s="282">
        <v>43846</v>
      </c>
      <c r="J272" s="283"/>
      <c r="K272" s="279" t="s">
        <v>240</v>
      </c>
      <c r="L272" s="284"/>
      <c r="M272" s="285"/>
      <c r="N272" s="280" t="s">
        <v>38</v>
      </c>
      <c r="O272" s="279">
        <v>80</v>
      </c>
      <c r="P272" s="279" t="s">
        <v>377</v>
      </c>
      <c r="Q272" s="286" t="s">
        <v>229</v>
      </c>
      <c r="R272" s="287">
        <v>500</v>
      </c>
      <c r="S272" s="287">
        <v>600</v>
      </c>
      <c r="T272" s="283" t="s">
        <v>232</v>
      </c>
      <c r="U272" s="287" t="s">
        <v>76</v>
      </c>
      <c r="V272" s="247" t="str">
        <f>VLOOKUP(E272,Лист4!A$2:G$395,7,FALSE)</f>
        <v>мел+офсет</v>
      </c>
      <c r="W272" s="247">
        <f>IF(ISNA(V272),VLOOKUP(E272,категория!A$42:C$74,3,),6.94+R272*8.333/VLOOKUP(V272,категория!A$42:C$74,2,))</f>
        <v>7.7733000000000008</v>
      </c>
    </row>
    <row r="273" spans="1:23" ht="15.75">
      <c r="A273" s="277">
        <v>43843.475694444445</v>
      </c>
      <c r="B273" s="277">
        <v>43843.479166666664</v>
      </c>
      <c r="C273" s="277">
        <f t="shared" si="13"/>
        <v>3.4722222189884633E-3</v>
      </c>
      <c r="D273" s="278">
        <v>1.0416666666666666E-2</v>
      </c>
      <c r="E273" s="329" t="s">
        <v>170</v>
      </c>
      <c r="F273" s="330"/>
      <c r="G273" s="330"/>
      <c r="H273" s="330"/>
      <c r="I273" s="330"/>
      <c r="J273" s="330"/>
      <c r="K273" s="330"/>
      <c r="L273" s="330"/>
      <c r="M273" s="330"/>
      <c r="N273" s="330"/>
      <c r="O273" s="330"/>
      <c r="P273" s="330"/>
      <c r="Q273" s="330"/>
      <c r="R273" s="330"/>
      <c r="S273" s="330"/>
      <c r="T273" s="330"/>
      <c r="U273" s="331"/>
      <c r="V273" s="247" t="e">
        <f>VLOOKUP(E273,Лист4!A$2:G$395,7,FALSE)</f>
        <v>#N/A</v>
      </c>
      <c r="W273" s="247">
        <f>IF(ISNA(V273),VLOOKUP(E273,категория!A$42:C$74,3,),6.94+R273*8.333/VLOOKUP(V273,категория!A$42:C$74,2,))</f>
        <v>2.085</v>
      </c>
    </row>
    <row r="274" spans="1:23" ht="15.75">
      <c r="A274" s="277">
        <v>43843.479166666664</v>
      </c>
      <c r="B274" s="277">
        <v>43843.486111111109</v>
      </c>
      <c r="C274" s="277">
        <f t="shared" si="13"/>
        <v>6.9444444452528842E-3</v>
      </c>
      <c r="D274" s="278">
        <v>6.9444444444444441E-3</v>
      </c>
      <c r="E274" s="329" t="s">
        <v>327</v>
      </c>
      <c r="F274" s="330"/>
      <c r="G274" s="330"/>
      <c r="H274" s="330"/>
      <c r="I274" s="330"/>
      <c r="J274" s="330"/>
      <c r="K274" s="330"/>
      <c r="L274" s="330"/>
      <c r="M274" s="330"/>
      <c r="N274" s="330"/>
      <c r="O274" s="330"/>
      <c r="P274" s="330"/>
      <c r="Q274" s="330"/>
      <c r="R274" s="330"/>
      <c r="S274" s="330"/>
      <c r="T274" s="330"/>
      <c r="U274" s="331"/>
      <c r="V274" s="247" t="e">
        <f>VLOOKUP(E274,Лист4!A$2:G$395,7,FALSE)</f>
        <v>#N/A</v>
      </c>
      <c r="W274" s="247">
        <f>8.3333*0.16</f>
        <v>1.3333279999999998</v>
      </c>
    </row>
    <row r="275" spans="1:23" ht="60">
      <c r="A275" s="277">
        <v>43843.486111111109</v>
      </c>
      <c r="B275" s="277">
        <v>43843.496527777781</v>
      </c>
      <c r="C275" s="277">
        <f t="shared" si="13"/>
        <v>1.0416666671517305E-2</v>
      </c>
      <c r="D275" s="278">
        <v>1.0416666666666666E-2</v>
      </c>
      <c r="E275" s="279">
        <v>3481</v>
      </c>
      <c r="F275" s="280" t="s">
        <v>313</v>
      </c>
      <c r="G275" s="280" t="s">
        <v>457</v>
      </c>
      <c r="H275" s="281" t="s">
        <v>466</v>
      </c>
      <c r="I275" s="282">
        <v>43846</v>
      </c>
      <c r="J275" s="283"/>
      <c r="K275" s="279" t="s">
        <v>240</v>
      </c>
      <c r="L275" s="284"/>
      <c r="M275" s="285"/>
      <c r="N275" s="280" t="s">
        <v>38</v>
      </c>
      <c r="O275" s="279">
        <v>80</v>
      </c>
      <c r="P275" s="279" t="s">
        <v>377</v>
      </c>
      <c r="Q275" s="286" t="s">
        <v>229</v>
      </c>
      <c r="R275" s="287">
        <v>470</v>
      </c>
      <c r="S275" s="287">
        <v>600</v>
      </c>
      <c r="T275" s="283" t="s">
        <v>232</v>
      </c>
      <c r="U275" s="287" t="s">
        <v>76</v>
      </c>
      <c r="V275" s="247" t="str">
        <f>VLOOKUP(E275,Лист4!A$2:G$395,7,FALSE)</f>
        <v>мел+офсет</v>
      </c>
      <c r="W275" s="247">
        <f>IF(ISNA(V275),VLOOKUP(E275,категория!A$42:C$74,3,),6.94+R275*8.333/VLOOKUP(V275,категория!A$42:C$74,2,))</f>
        <v>7.7233020000000003</v>
      </c>
    </row>
    <row r="276" spans="1:23" ht="15.75">
      <c r="A276" s="277">
        <v>43843.496527777781</v>
      </c>
      <c r="B276" s="277">
        <v>43843.5</v>
      </c>
      <c r="C276" s="277">
        <f t="shared" si="13"/>
        <v>3.4722222189884633E-3</v>
      </c>
      <c r="D276" s="278">
        <v>1.0416666666666666E-2</v>
      </c>
      <c r="E276" s="329" t="s">
        <v>170</v>
      </c>
      <c r="F276" s="330"/>
      <c r="G276" s="330"/>
      <c r="H276" s="330"/>
      <c r="I276" s="330"/>
      <c r="J276" s="330"/>
      <c r="K276" s="330"/>
      <c r="L276" s="330"/>
      <c r="M276" s="330"/>
      <c r="N276" s="330"/>
      <c r="O276" s="330"/>
      <c r="P276" s="330"/>
      <c r="Q276" s="330"/>
      <c r="R276" s="330"/>
      <c r="S276" s="330"/>
      <c r="T276" s="330"/>
      <c r="U276" s="331"/>
      <c r="V276" s="247" t="e">
        <f>VLOOKUP(E276,Лист4!A$2:G$395,7,FALSE)</f>
        <v>#N/A</v>
      </c>
      <c r="W276" s="247">
        <f>IF(ISNA(V276),VLOOKUP(E276,категория!A$42:C$74,3,),6.94+R276*8.333/VLOOKUP(V276,категория!A$42:C$74,2,))</f>
        <v>2.085</v>
      </c>
    </row>
    <row r="277" spans="1:23" ht="15.75">
      <c r="A277" s="277">
        <v>43843.5</v>
      </c>
      <c r="B277" s="277">
        <v>43843.520833333336</v>
      </c>
      <c r="C277" s="277">
        <f t="shared" si="13"/>
        <v>2.0833333335758653E-2</v>
      </c>
      <c r="D277" s="278">
        <v>2.0833333333333332E-2</v>
      </c>
      <c r="E277" s="329" t="s">
        <v>23</v>
      </c>
      <c r="F277" s="330"/>
      <c r="G277" s="330"/>
      <c r="H277" s="330"/>
      <c r="I277" s="330"/>
      <c r="J277" s="330"/>
      <c r="K277" s="330"/>
      <c r="L277" s="330"/>
      <c r="M277" s="330"/>
      <c r="N277" s="330"/>
      <c r="O277" s="330"/>
      <c r="P277" s="330"/>
      <c r="Q277" s="330"/>
      <c r="R277" s="330"/>
      <c r="S277" s="330"/>
      <c r="T277" s="330"/>
      <c r="U277" s="331"/>
      <c r="V277" s="247" t="e">
        <f>VLOOKUP(E277,Лист4!A$2:G$395,7,FALSE)</f>
        <v>#N/A</v>
      </c>
      <c r="W277" s="247">
        <f>IF(ISNA(V277),VLOOKUP(E277,категория!A$42:C$74,3,),6.94+R277*8.333/VLOOKUP(V277,категория!A$42:C$74,2,))</f>
        <v>2.78</v>
      </c>
    </row>
    <row r="278" spans="1:23" ht="15.75">
      <c r="A278" s="277">
        <v>43843.520833333336</v>
      </c>
      <c r="B278" s="277">
        <v>43843.552083333336</v>
      </c>
      <c r="C278" s="277">
        <f t="shared" si="13"/>
        <v>3.125E-2</v>
      </c>
      <c r="D278" s="278">
        <v>3.472222222222222E-3</v>
      </c>
      <c r="E278" s="329" t="s">
        <v>24</v>
      </c>
      <c r="F278" s="330"/>
      <c r="G278" s="330"/>
      <c r="H278" s="330"/>
      <c r="I278" s="330"/>
      <c r="J278" s="330"/>
      <c r="K278" s="330"/>
      <c r="L278" s="330"/>
      <c r="M278" s="330"/>
      <c r="N278" s="330"/>
      <c r="O278" s="330"/>
      <c r="P278" s="330"/>
      <c r="Q278" s="330"/>
      <c r="R278" s="330"/>
      <c r="S278" s="330"/>
      <c r="T278" s="330"/>
      <c r="U278" s="331"/>
      <c r="V278" s="247" t="e">
        <f>VLOOKUP(E278,Лист4!A$2:G$395,7,FALSE)</f>
        <v>#N/A</v>
      </c>
      <c r="W278" s="247">
        <f>IF(ISNA(V278),VLOOKUP(E278,категория!A$42:C$74,3,),6.94+R278*8.333/VLOOKUP(V278,категория!A$42:C$74,2,))</f>
        <v>3.47</v>
      </c>
    </row>
    <row r="279" spans="1:23" ht="84">
      <c r="A279" s="277">
        <v>43843.552083333336</v>
      </c>
      <c r="B279" s="277">
        <v>43843.583333333336</v>
      </c>
      <c r="C279" s="277">
        <f t="shared" si="13"/>
        <v>3.125E-2</v>
      </c>
      <c r="D279" s="278">
        <v>3.125E-2</v>
      </c>
      <c r="E279" s="279">
        <v>59</v>
      </c>
      <c r="F279" s="280" t="s">
        <v>271</v>
      </c>
      <c r="G279" s="280" t="s">
        <v>467</v>
      </c>
      <c r="H279" s="281" t="s">
        <v>226</v>
      </c>
      <c r="I279" s="282">
        <v>43843</v>
      </c>
      <c r="J279" s="283"/>
      <c r="K279" s="279" t="s">
        <v>227</v>
      </c>
      <c r="L279" s="284"/>
      <c r="M279" s="285"/>
      <c r="N279" s="280" t="s">
        <v>206</v>
      </c>
      <c r="O279" s="279">
        <v>230</v>
      </c>
      <c r="P279" s="279" t="s">
        <v>228</v>
      </c>
      <c r="Q279" s="286" t="s">
        <v>229</v>
      </c>
      <c r="R279" s="287">
        <v>2100</v>
      </c>
      <c r="S279" s="287">
        <v>2342</v>
      </c>
      <c r="T279" s="283"/>
      <c r="U279" s="287" t="s">
        <v>76</v>
      </c>
      <c r="V279" s="247" t="str">
        <f>VLOOKUP(E279,Лист4!A$2:G$395,7,FALSE)</f>
        <v>картон до 250</v>
      </c>
      <c r="W279" s="247">
        <f>IF(ISNA(V279),VLOOKUP(E279,категория!A$42:C$74,3,),6.94+R279*8.333/VLOOKUP(V279,категория!A$42:C$74,2,))</f>
        <v>12.242818181818182</v>
      </c>
    </row>
    <row r="280" spans="1:23" ht="15.75">
      <c r="A280" s="277">
        <v>43843.583333333336</v>
      </c>
      <c r="B280" s="277">
        <v>43843.586805555555</v>
      </c>
      <c r="C280" s="277">
        <f t="shared" si="13"/>
        <v>3.4722222189884633E-3</v>
      </c>
      <c r="D280" s="278">
        <v>1.0416666666666666E-2</v>
      </c>
      <c r="E280" s="329" t="s">
        <v>170</v>
      </c>
      <c r="F280" s="330"/>
      <c r="G280" s="330"/>
      <c r="H280" s="330"/>
      <c r="I280" s="330"/>
      <c r="J280" s="330"/>
      <c r="K280" s="330"/>
      <c r="L280" s="330"/>
      <c r="M280" s="330"/>
      <c r="N280" s="330"/>
      <c r="O280" s="330"/>
      <c r="P280" s="330"/>
      <c r="Q280" s="330"/>
      <c r="R280" s="330"/>
      <c r="S280" s="330"/>
      <c r="T280" s="330"/>
      <c r="U280" s="331"/>
      <c r="V280" s="247" t="e">
        <f>VLOOKUP(E280,Лист4!A$2:G$395,7,FALSE)</f>
        <v>#N/A</v>
      </c>
      <c r="W280" s="247">
        <f>IF(ISNA(V280),VLOOKUP(E280,категория!A$42:C$74,3,),6.94+R280*8.333/VLOOKUP(V280,категория!A$42:C$74,2,))</f>
        <v>2.085</v>
      </c>
    </row>
    <row r="281" spans="1:23" ht="15.75">
      <c r="A281" s="277">
        <v>43843.586805555555</v>
      </c>
      <c r="B281" s="277">
        <v>43843.833333333336</v>
      </c>
      <c r="C281" s="277">
        <f t="shared" si="13"/>
        <v>0.24652777778101154</v>
      </c>
      <c r="D281" s="278">
        <v>4.1666666666666664E-2</v>
      </c>
      <c r="E281" s="329" t="s">
        <v>283</v>
      </c>
      <c r="F281" s="330"/>
      <c r="G281" s="330"/>
      <c r="H281" s="330"/>
      <c r="I281" s="330"/>
      <c r="J281" s="330"/>
      <c r="K281" s="330"/>
      <c r="L281" s="330"/>
      <c r="M281" s="330"/>
      <c r="N281" s="330"/>
      <c r="O281" s="330"/>
      <c r="P281" s="330"/>
      <c r="Q281" s="330"/>
      <c r="R281" s="330"/>
      <c r="S281" s="330"/>
      <c r="T281" s="330"/>
      <c r="U281" s="331"/>
      <c r="V281" s="247" t="e">
        <f>VLOOKUP(E281,Лист4!A$2:G$395,7,FALSE)</f>
        <v>#N/A</v>
      </c>
      <c r="W281" s="52">
        <f>SUM(W260:W280)</f>
        <v>93.795040181818166</v>
      </c>
    </row>
    <row r="282" spans="1:23" ht="15.75">
      <c r="A282" s="288">
        <v>43843.833333333336</v>
      </c>
      <c r="B282" s="332" t="s">
        <v>468</v>
      </c>
      <c r="C282" s="333"/>
      <c r="D282" s="334"/>
      <c r="E282" s="334"/>
      <c r="F282" s="334"/>
      <c r="G282" s="334"/>
      <c r="H282" s="334"/>
      <c r="I282" s="334"/>
      <c r="J282" s="334"/>
      <c r="K282" s="334"/>
      <c r="L282" s="334"/>
      <c r="M282" s="334"/>
      <c r="N282" s="334"/>
      <c r="O282" s="334"/>
      <c r="P282" s="334"/>
      <c r="Q282" s="334"/>
      <c r="R282" s="334"/>
      <c r="S282" s="334"/>
      <c r="T282" s="334"/>
      <c r="U282" s="335"/>
      <c r="V282" s="247" t="e">
        <f>VLOOKUP(E282,Лист4!A$2:G$395,7,FALSE)</f>
        <v>#N/A</v>
      </c>
      <c r="W282" s="247" t="e">
        <f>IF(ISNA(V282),VLOOKUP(E282,категория!A$42:C$74,3,),6.94+R282*8.333/VLOOKUP(V282,категория!A$42:C$74,2,))</f>
        <v>#N/A</v>
      </c>
    </row>
    <row r="283" spans="1:23" ht="15.75">
      <c r="A283" s="277">
        <v>43843.833333333336</v>
      </c>
      <c r="B283" s="277">
        <v>43843.854166666664</v>
      </c>
      <c r="C283" s="277">
        <f>B283-A283</f>
        <v>2.0833333328482695E-2</v>
      </c>
      <c r="D283" s="278">
        <v>2.0833333333333332E-2</v>
      </c>
      <c r="E283" s="329" t="s">
        <v>22</v>
      </c>
      <c r="F283" s="330"/>
      <c r="G283" s="330"/>
      <c r="H283" s="330"/>
      <c r="I283" s="330"/>
      <c r="J283" s="330"/>
      <c r="K283" s="330"/>
      <c r="L283" s="330"/>
      <c r="M283" s="330"/>
      <c r="N283" s="330"/>
      <c r="O283" s="330"/>
      <c r="P283" s="330"/>
      <c r="Q283" s="330"/>
      <c r="R283" s="330"/>
      <c r="S283" s="330"/>
      <c r="T283" s="330"/>
      <c r="U283" s="331"/>
      <c r="V283" s="247" t="e">
        <f>VLOOKUP(E283,Лист4!A$2:G$395,7,FALSE)</f>
        <v>#N/A</v>
      </c>
      <c r="W283" s="247">
        <f>IF(ISNA(V283),VLOOKUP(E283,категория!A$42:C$74,3,),6.94+R283*8.333/VLOOKUP(V283,категория!A$42:C$74,2,))</f>
        <v>4.17</v>
      </c>
    </row>
    <row r="284" spans="1:23" ht="15.75">
      <c r="A284" s="277">
        <v>43843.854166666664</v>
      </c>
      <c r="B284" s="277">
        <v>43843.96875</v>
      </c>
      <c r="C284" s="277">
        <f t="shared" ref="C284:C287" si="14">B284-A284</f>
        <v>0.11458333333575865</v>
      </c>
      <c r="D284" s="278">
        <v>4.1666666666666664E-2</v>
      </c>
      <c r="E284" s="329" t="s">
        <v>231</v>
      </c>
      <c r="F284" s="330"/>
      <c r="G284" s="330"/>
      <c r="H284" s="330"/>
      <c r="I284" s="330"/>
      <c r="J284" s="330"/>
      <c r="K284" s="330"/>
      <c r="L284" s="330"/>
      <c r="M284" s="330"/>
      <c r="N284" s="330"/>
      <c r="O284" s="330"/>
      <c r="P284" s="330"/>
      <c r="Q284" s="330"/>
      <c r="R284" s="330"/>
      <c r="S284" s="330"/>
      <c r="T284" s="330"/>
      <c r="U284" s="331"/>
      <c r="V284" s="247" t="e">
        <f>VLOOKUP(E284,Лист4!A$2:G$395,7,FALSE)</f>
        <v>#N/A</v>
      </c>
      <c r="W284" s="247">
        <f>2.75*8.3333</f>
        <v>22.916574999999998</v>
      </c>
    </row>
    <row r="285" spans="1:23" ht="84">
      <c r="A285" s="277">
        <v>43843.96875</v>
      </c>
      <c r="B285" s="277">
        <v>43844.020833333336</v>
      </c>
      <c r="C285" s="277">
        <f t="shared" si="14"/>
        <v>5.2083333335758653E-2</v>
      </c>
      <c r="D285" s="278">
        <v>5.2083333333333336E-2</v>
      </c>
      <c r="E285" s="279">
        <v>33</v>
      </c>
      <c r="F285" s="280" t="s">
        <v>279</v>
      </c>
      <c r="G285" s="280" t="s">
        <v>469</v>
      </c>
      <c r="H285" s="281" t="s">
        <v>226</v>
      </c>
      <c r="I285" s="282">
        <v>43850</v>
      </c>
      <c r="J285" s="283"/>
      <c r="K285" s="279" t="s">
        <v>227</v>
      </c>
      <c r="L285" s="284"/>
      <c r="M285" s="285"/>
      <c r="N285" s="280" t="s">
        <v>35</v>
      </c>
      <c r="O285" s="279">
        <v>250</v>
      </c>
      <c r="P285" s="279" t="s">
        <v>236</v>
      </c>
      <c r="Q285" s="286" t="s">
        <v>229</v>
      </c>
      <c r="R285" s="287">
        <v>1170</v>
      </c>
      <c r="S285" s="287">
        <v>1360</v>
      </c>
      <c r="T285" s="283" t="s">
        <v>232</v>
      </c>
      <c r="U285" s="287" t="s">
        <v>230</v>
      </c>
      <c r="V285" s="247" t="str">
        <f>VLOOKUP(E285,Лист4!A$2:G$395,7,FALSE)</f>
        <v>картон до 250</v>
      </c>
      <c r="W285" s="247">
        <f>IF(ISNA(V285),VLOOKUP(E285,категория!A$42:C$74,3,),6.94+R285*8.333/VLOOKUP(V285,категория!A$42:C$74,2,))</f>
        <v>9.894427272727274</v>
      </c>
    </row>
    <row r="286" spans="1:23" ht="15.75">
      <c r="A286" s="277">
        <v>43844.020833333336</v>
      </c>
      <c r="B286" s="277">
        <v>43844.027777777781</v>
      </c>
      <c r="C286" s="277">
        <f t="shared" si="14"/>
        <v>6.9444444452528842E-3</v>
      </c>
      <c r="D286" s="278">
        <v>1.0416666666666666E-2</v>
      </c>
      <c r="E286" s="329" t="s">
        <v>170</v>
      </c>
      <c r="F286" s="330"/>
      <c r="G286" s="330"/>
      <c r="H286" s="330"/>
      <c r="I286" s="330"/>
      <c r="J286" s="330"/>
      <c r="K286" s="330"/>
      <c r="L286" s="330"/>
      <c r="M286" s="330"/>
      <c r="N286" s="330"/>
      <c r="O286" s="330"/>
      <c r="P286" s="330"/>
      <c r="Q286" s="330"/>
      <c r="R286" s="330"/>
      <c r="S286" s="330"/>
      <c r="T286" s="330"/>
      <c r="U286" s="331"/>
      <c r="V286" s="247" t="e">
        <f>VLOOKUP(E286,Лист4!A$2:G$395,7,FALSE)</f>
        <v>#N/A</v>
      </c>
      <c r="W286" s="247">
        <f>IF(ISNA(V286),VLOOKUP(E286,категория!A$42:C$74,3,),6.94+R286*8.333/VLOOKUP(V286,категория!A$42:C$74,2,))</f>
        <v>2.085</v>
      </c>
    </row>
    <row r="287" spans="1:23" ht="15.75">
      <c r="A287" s="277">
        <v>43844.027777777781</v>
      </c>
      <c r="B287" s="277">
        <v>43844.333333333336</v>
      </c>
      <c r="C287" s="277">
        <f t="shared" si="14"/>
        <v>0.30555555555474712</v>
      </c>
      <c r="D287" s="278">
        <v>4.1666666666666664E-2</v>
      </c>
      <c r="E287" s="329" t="s">
        <v>283</v>
      </c>
      <c r="F287" s="330"/>
      <c r="G287" s="330"/>
      <c r="H287" s="330"/>
      <c r="I287" s="330"/>
      <c r="J287" s="330"/>
      <c r="K287" s="330"/>
      <c r="L287" s="330"/>
      <c r="M287" s="330"/>
      <c r="N287" s="330"/>
      <c r="O287" s="330"/>
      <c r="P287" s="330"/>
      <c r="Q287" s="330"/>
      <c r="R287" s="330"/>
      <c r="S287" s="330"/>
      <c r="T287" s="330"/>
      <c r="U287" s="331"/>
      <c r="V287" s="247" t="e">
        <f>VLOOKUP(E287,Лист4!A$2:G$395,7,FALSE)</f>
        <v>#N/A</v>
      </c>
      <c r="W287" s="247">
        <f>7.333*8.333</f>
        <v>61.105889000000005</v>
      </c>
    </row>
    <row r="288" spans="1:23" ht="15.75">
      <c r="A288" s="288">
        <v>43844.333333333336</v>
      </c>
      <c r="B288" s="332" t="s">
        <v>470</v>
      </c>
      <c r="C288" s="333"/>
      <c r="D288" s="334"/>
      <c r="E288" s="334"/>
      <c r="F288" s="334"/>
      <c r="G288" s="334"/>
      <c r="H288" s="334"/>
      <c r="I288" s="334"/>
      <c r="J288" s="334"/>
      <c r="K288" s="334"/>
      <c r="L288" s="334"/>
      <c r="M288" s="334"/>
      <c r="N288" s="334"/>
      <c r="O288" s="334"/>
      <c r="P288" s="334"/>
      <c r="Q288" s="334"/>
      <c r="R288" s="334"/>
      <c r="S288" s="334"/>
      <c r="T288" s="334"/>
      <c r="U288" s="335"/>
      <c r="V288" s="247" t="e">
        <f>VLOOKUP(E288,Лист4!A$2:G$395,7,FALSE)</f>
        <v>#N/A</v>
      </c>
      <c r="W288" s="52">
        <f>SUM(W283:W287)</f>
        <v>100.17189127272727</v>
      </c>
    </row>
    <row r="289" spans="1:23" ht="15.75">
      <c r="A289" s="277">
        <v>43844.333333333336</v>
      </c>
      <c r="B289" s="277">
        <v>43844.729166666664</v>
      </c>
      <c r="C289" s="277"/>
      <c r="D289" s="278">
        <v>4.1666666666666664E-2</v>
      </c>
      <c r="E289" s="329" t="s">
        <v>283</v>
      </c>
      <c r="F289" s="330"/>
      <c r="G289" s="330"/>
      <c r="H289" s="330"/>
      <c r="I289" s="330"/>
      <c r="J289" s="330"/>
      <c r="K289" s="330"/>
      <c r="L289" s="330"/>
      <c r="M289" s="330"/>
      <c r="N289" s="330"/>
      <c r="O289" s="330"/>
      <c r="P289" s="330"/>
      <c r="Q289" s="330"/>
      <c r="R289" s="330"/>
      <c r="S289" s="330"/>
      <c r="T289" s="330"/>
      <c r="U289" s="331"/>
      <c r="V289" s="247" t="e">
        <f>VLOOKUP(E289,Лист4!A$2:G$395,7,FALSE)</f>
        <v>#N/A</v>
      </c>
      <c r="W289" s="247" t="e">
        <f>IF(ISNA(V289),VLOOKUP(E289,категория!A$42:C$74,3,),6.94+R289*8.333/VLOOKUP(V289,категория!A$42:C$74,2,))</f>
        <v>#N/A</v>
      </c>
    </row>
    <row r="290" spans="1:23" ht="15.75">
      <c r="A290" s="277">
        <v>43844.729166666664</v>
      </c>
      <c r="B290" s="277">
        <v>43844.743055555555</v>
      </c>
      <c r="C290" s="277"/>
      <c r="D290" s="278">
        <v>2.0833333333333332E-2</v>
      </c>
      <c r="E290" s="329" t="s">
        <v>8</v>
      </c>
      <c r="F290" s="330"/>
      <c r="G290" s="330"/>
      <c r="H290" s="330"/>
      <c r="I290" s="330"/>
      <c r="J290" s="330"/>
      <c r="K290" s="330"/>
      <c r="L290" s="330"/>
      <c r="M290" s="330"/>
      <c r="N290" s="330"/>
      <c r="O290" s="330"/>
      <c r="P290" s="330"/>
      <c r="Q290" s="330"/>
      <c r="R290" s="330"/>
      <c r="S290" s="330"/>
      <c r="T290" s="330"/>
      <c r="U290" s="331"/>
      <c r="V290" s="247" t="e">
        <f>VLOOKUP(E290,Лист4!A$2:G$395,7,FALSE)</f>
        <v>#N/A</v>
      </c>
      <c r="W290" s="247">
        <f>IF(ISNA(V290),VLOOKUP(E290,категория!A$42:C$74,3,),6.94+R290*8.333/VLOOKUP(V290,категория!A$42:C$74,2,))</f>
        <v>4.17</v>
      </c>
    </row>
    <row r="291" spans="1:23" ht="15.75">
      <c r="A291" s="277">
        <v>43844.743055555555</v>
      </c>
      <c r="B291" s="277">
        <v>43844.756944444445</v>
      </c>
      <c r="C291" s="277"/>
      <c r="D291" s="278">
        <v>3.472222222222222E-3</v>
      </c>
      <c r="E291" s="329" t="s">
        <v>288</v>
      </c>
      <c r="F291" s="330"/>
      <c r="G291" s="330"/>
      <c r="H291" s="330"/>
      <c r="I291" s="330"/>
      <c r="J291" s="330"/>
      <c r="K291" s="330"/>
      <c r="L291" s="330"/>
      <c r="M291" s="330"/>
      <c r="N291" s="330"/>
      <c r="O291" s="330"/>
      <c r="P291" s="330"/>
      <c r="Q291" s="330"/>
      <c r="R291" s="330"/>
      <c r="S291" s="330"/>
      <c r="T291" s="330"/>
      <c r="U291" s="331"/>
      <c r="V291" s="247" t="e">
        <f>VLOOKUP(E291,Лист4!A$2:G$395,7,FALSE)</f>
        <v>#N/A</v>
      </c>
      <c r="W291" s="247" t="e">
        <f>IF(ISNA(V291),VLOOKUP(E291,категория!A$42:C$74,3,),6.94+R291*8.333/VLOOKUP(V291,категория!A$42:C$74,2,))</f>
        <v>#N/A</v>
      </c>
    </row>
    <row r="292" spans="1:23" ht="15.75">
      <c r="A292" s="277">
        <v>43844.756944444445</v>
      </c>
      <c r="B292" s="277">
        <v>43844.833333333336</v>
      </c>
      <c r="C292" s="277"/>
      <c r="D292" s="278">
        <v>7.6388888888888895E-2</v>
      </c>
      <c r="E292" s="329" t="s">
        <v>283</v>
      </c>
      <c r="F292" s="330"/>
      <c r="G292" s="330"/>
      <c r="H292" s="330"/>
      <c r="I292" s="330"/>
      <c r="J292" s="330"/>
      <c r="K292" s="330"/>
      <c r="L292" s="330"/>
      <c r="M292" s="330"/>
      <c r="N292" s="330"/>
      <c r="O292" s="330"/>
      <c r="P292" s="330"/>
      <c r="Q292" s="330"/>
      <c r="R292" s="330"/>
      <c r="S292" s="330"/>
      <c r="T292" s="330"/>
      <c r="U292" s="331"/>
      <c r="V292" s="247" t="e">
        <f>VLOOKUP(E292,Лист4!A$2:G$395,7,FALSE)</f>
        <v>#N/A</v>
      </c>
      <c r="W292" s="247" t="e">
        <f>IF(ISNA(V292),VLOOKUP(E292,категория!A$42:C$74,3,),6.94+R292*8.333/VLOOKUP(V292,категория!A$42:C$74,2,))</f>
        <v>#N/A</v>
      </c>
    </row>
    <row r="293" spans="1:23" ht="15.75">
      <c r="A293" s="288">
        <v>43844.833333333336</v>
      </c>
      <c r="B293" s="332" t="s">
        <v>471</v>
      </c>
      <c r="C293" s="333"/>
      <c r="D293" s="334"/>
      <c r="E293" s="334"/>
      <c r="F293" s="334"/>
      <c r="G293" s="334"/>
      <c r="H293" s="334"/>
      <c r="I293" s="334"/>
      <c r="J293" s="334"/>
      <c r="K293" s="334"/>
      <c r="L293" s="334"/>
      <c r="M293" s="334"/>
      <c r="N293" s="334"/>
      <c r="O293" s="334"/>
      <c r="P293" s="334"/>
      <c r="Q293" s="334"/>
      <c r="R293" s="334"/>
      <c r="S293" s="334"/>
      <c r="T293" s="334"/>
      <c r="U293" s="335"/>
      <c r="V293" s="247" t="e">
        <f>VLOOKUP(E293,Лист4!A$2:G$395,7,FALSE)</f>
        <v>#N/A</v>
      </c>
      <c r="W293" s="247" t="e">
        <f>IF(ISNA(V293),VLOOKUP(E293,категория!A$42:C$74,3,),6.94+R293*8.333/VLOOKUP(V293,категория!A$42:C$74,2,))</f>
        <v>#N/A</v>
      </c>
    </row>
    <row r="294" spans="1:23" ht="15.75">
      <c r="A294" s="277">
        <v>43844.833333333336</v>
      </c>
      <c r="B294" s="277">
        <v>43844.854166666664</v>
      </c>
      <c r="C294" s="277">
        <f>B294-A294</f>
        <v>2.0833333328482695E-2</v>
      </c>
      <c r="D294" s="278">
        <v>2.0833333333333332E-2</v>
      </c>
      <c r="E294" s="329" t="s">
        <v>22</v>
      </c>
      <c r="F294" s="330"/>
      <c r="G294" s="330"/>
      <c r="H294" s="330"/>
      <c r="I294" s="330"/>
      <c r="J294" s="330"/>
      <c r="K294" s="330"/>
      <c r="L294" s="330"/>
      <c r="M294" s="330"/>
      <c r="N294" s="330"/>
      <c r="O294" s="330"/>
      <c r="P294" s="330"/>
      <c r="Q294" s="330"/>
      <c r="R294" s="330"/>
      <c r="S294" s="330"/>
      <c r="T294" s="330"/>
      <c r="U294" s="331"/>
      <c r="V294" s="247" t="e">
        <f>VLOOKUP(E294,Лист4!A$2:G$395,7,FALSE)</f>
        <v>#N/A</v>
      </c>
      <c r="W294" s="247">
        <f>IF(ISNA(V294),VLOOKUP(E294,категория!A$42:C$74,3,),6.94+R294*8.333/VLOOKUP(V294,категория!A$42:C$74,2,))</f>
        <v>4.17</v>
      </c>
    </row>
    <row r="295" spans="1:23" ht="60">
      <c r="A295" s="277">
        <v>43844.854166666664</v>
      </c>
      <c r="B295" s="277">
        <v>43844.888888888891</v>
      </c>
      <c r="C295" s="277">
        <f t="shared" ref="C295:C310" si="15">B295-A295</f>
        <v>3.4722222226264421E-2</v>
      </c>
      <c r="D295" s="278">
        <v>3.4722222222222224E-2</v>
      </c>
      <c r="E295" s="279">
        <v>68</v>
      </c>
      <c r="F295" s="280" t="s">
        <v>472</v>
      </c>
      <c r="G295" s="280" t="s">
        <v>473</v>
      </c>
      <c r="H295" s="281" t="s">
        <v>226</v>
      </c>
      <c r="I295" s="282">
        <v>43845</v>
      </c>
      <c r="J295" s="283"/>
      <c r="K295" s="279" t="s">
        <v>227</v>
      </c>
      <c r="L295" s="284"/>
      <c r="M295" s="285"/>
      <c r="N295" s="280" t="s">
        <v>39</v>
      </c>
      <c r="O295" s="279">
        <v>210</v>
      </c>
      <c r="P295" s="279" t="s">
        <v>236</v>
      </c>
      <c r="Q295" s="286" t="s">
        <v>229</v>
      </c>
      <c r="R295" s="287">
        <v>650</v>
      </c>
      <c r="S295" s="287">
        <v>788</v>
      </c>
      <c r="T295" s="283"/>
      <c r="U295" s="287" t="s">
        <v>77</v>
      </c>
      <c r="V295" s="247" t="str">
        <f>VLOOKUP(E295,Лист4!A$2:G$395,7,FALSE)</f>
        <v>мел+офсет</v>
      </c>
      <c r="W295" s="247">
        <f>IF(ISNA(V295),VLOOKUP(E295,категория!A$42:C$74,3,),6.94+R295*8.333/VLOOKUP(V295,категория!A$42:C$74,2,))</f>
        <v>8.0232899999999994</v>
      </c>
    </row>
    <row r="296" spans="1:23" ht="15.75">
      <c r="A296" s="277">
        <v>43844.888888888891</v>
      </c>
      <c r="B296" s="277">
        <v>43844.895833333336</v>
      </c>
      <c r="C296" s="277">
        <f t="shared" si="15"/>
        <v>6.9444444452528842E-3</v>
      </c>
      <c r="D296" s="278">
        <v>1.0416666666666666E-2</v>
      </c>
      <c r="E296" s="329" t="s">
        <v>170</v>
      </c>
      <c r="F296" s="330"/>
      <c r="G296" s="330"/>
      <c r="H296" s="330"/>
      <c r="I296" s="330"/>
      <c r="J296" s="330"/>
      <c r="K296" s="330"/>
      <c r="L296" s="330"/>
      <c r="M296" s="330"/>
      <c r="N296" s="330"/>
      <c r="O296" s="330"/>
      <c r="P296" s="330"/>
      <c r="Q296" s="330"/>
      <c r="R296" s="330"/>
      <c r="S296" s="330"/>
      <c r="T296" s="330"/>
      <c r="U296" s="331"/>
      <c r="V296" s="247" t="e">
        <f>VLOOKUP(E296,Лист4!A$2:G$395,7,FALSE)</f>
        <v>#N/A</v>
      </c>
      <c r="W296" s="247">
        <f>IF(ISNA(V296),VLOOKUP(E296,категория!A$42:C$74,3,),6.94+R296*8.333/VLOOKUP(V296,категория!A$42:C$74,2,))</f>
        <v>2.085</v>
      </c>
    </row>
    <row r="297" spans="1:23" ht="15.75">
      <c r="A297" s="277">
        <v>43844.895833333336</v>
      </c>
      <c r="B297" s="277">
        <v>43845</v>
      </c>
      <c r="C297" s="277">
        <f t="shared" si="15"/>
        <v>0.10416666666424135</v>
      </c>
      <c r="D297" s="278">
        <v>4.1666666666666664E-2</v>
      </c>
      <c r="E297" s="329" t="s">
        <v>28</v>
      </c>
      <c r="F297" s="330"/>
      <c r="G297" s="330"/>
      <c r="H297" s="330"/>
      <c r="I297" s="330"/>
      <c r="J297" s="330"/>
      <c r="K297" s="330"/>
      <c r="L297" s="330"/>
      <c r="M297" s="330"/>
      <c r="N297" s="330"/>
      <c r="O297" s="330"/>
      <c r="P297" s="330"/>
      <c r="Q297" s="330"/>
      <c r="R297" s="330"/>
      <c r="S297" s="330"/>
      <c r="T297" s="330"/>
      <c r="U297" s="331"/>
      <c r="V297" s="247" t="e">
        <f>VLOOKUP(E297,Лист4!A$2:G$395,7,FALSE)</f>
        <v>#N/A</v>
      </c>
      <c r="W297" s="247">
        <f>IF(ISNA(V297),VLOOKUP(E297,категория!A$42:C$74,3,),6.94+R297*8.333/VLOOKUP(V297,категория!A$42:C$74,2,))</f>
        <v>8.3332999999999995</v>
      </c>
    </row>
    <row r="298" spans="1:23" ht="48">
      <c r="A298" s="336">
        <v>43845</v>
      </c>
      <c r="B298" s="336">
        <v>43845.076388888891</v>
      </c>
      <c r="C298" s="277">
        <f t="shared" si="15"/>
        <v>7.6388888890505768E-2</v>
      </c>
      <c r="D298" s="338">
        <v>7.6388888888888895E-2</v>
      </c>
      <c r="E298" s="340">
        <v>63</v>
      </c>
      <c r="F298" s="280" t="s">
        <v>305</v>
      </c>
      <c r="G298" s="280" t="s">
        <v>474</v>
      </c>
      <c r="H298" s="281" t="s">
        <v>233</v>
      </c>
      <c r="I298" s="282">
        <v>43851</v>
      </c>
      <c r="J298" s="283"/>
      <c r="K298" s="279" t="s">
        <v>227</v>
      </c>
      <c r="L298" s="284"/>
      <c r="M298" s="285"/>
      <c r="N298" s="280" t="s">
        <v>48</v>
      </c>
      <c r="O298" s="279">
        <v>250</v>
      </c>
      <c r="P298" s="279" t="s">
        <v>236</v>
      </c>
      <c r="Q298" s="286" t="s">
        <v>229</v>
      </c>
      <c r="R298" s="287">
        <v>170</v>
      </c>
      <c r="S298" s="287">
        <v>306</v>
      </c>
      <c r="T298" s="283" t="s">
        <v>232</v>
      </c>
      <c r="U298" s="287" t="s">
        <v>77</v>
      </c>
      <c r="V298" s="247" t="str">
        <f>VLOOKUP(E298,Лист4!A$2:G$395,7,FALSE)</f>
        <v>мел+офсет</v>
      </c>
      <c r="W298" s="247">
        <f>IF(ISNA(V298),VLOOKUP(E298,категория!A$42:C$74,3,),6.94+R298*8.333/VLOOKUP(V298,категория!A$42:C$74,2,))</f>
        <v>7.2233220000000005</v>
      </c>
    </row>
    <row r="299" spans="1:23">
      <c r="A299" s="337"/>
      <c r="B299" s="337"/>
      <c r="C299" s="277">
        <f t="shared" si="15"/>
        <v>0</v>
      </c>
      <c r="D299" s="339"/>
      <c r="E299" s="341"/>
      <c r="F299" s="342" t="s">
        <v>475</v>
      </c>
      <c r="G299" s="343"/>
      <c r="H299" s="343"/>
      <c r="I299" s="343"/>
      <c r="J299" s="343"/>
      <c r="K299" s="343"/>
      <c r="L299" s="343"/>
      <c r="M299" s="343"/>
      <c r="N299" s="343"/>
      <c r="O299" s="343"/>
      <c r="P299" s="343"/>
      <c r="Q299" s="343"/>
      <c r="R299" s="343"/>
      <c r="S299" s="343"/>
      <c r="T299" s="343"/>
      <c r="U299" s="344"/>
      <c r="V299" s="247" t="e">
        <f>VLOOKUP(E299,Лист4!A$2:G$395,7,FALSE)</f>
        <v>#N/A</v>
      </c>
      <c r="W299" s="247">
        <v>0</v>
      </c>
    </row>
    <row r="300" spans="1:23" ht="15.75">
      <c r="A300" s="277">
        <v>43845.076388888891</v>
      </c>
      <c r="B300" s="277">
        <v>43845.083333333336</v>
      </c>
      <c r="C300" s="277">
        <f t="shared" si="15"/>
        <v>6.9444444452528842E-3</v>
      </c>
      <c r="D300" s="278">
        <v>1.0416666666666666E-2</v>
      </c>
      <c r="E300" s="329" t="s">
        <v>170</v>
      </c>
      <c r="F300" s="330"/>
      <c r="G300" s="330"/>
      <c r="H300" s="330"/>
      <c r="I300" s="330"/>
      <c r="J300" s="330"/>
      <c r="K300" s="330"/>
      <c r="L300" s="330"/>
      <c r="M300" s="330"/>
      <c r="N300" s="330"/>
      <c r="O300" s="330"/>
      <c r="P300" s="330"/>
      <c r="Q300" s="330"/>
      <c r="R300" s="330"/>
      <c r="S300" s="330"/>
      <c r="T300" s="330"/>
      <c r="U300" s="331"/>
      <c r="V300" s="247" t="e">
        <f>VLOOKUP(E300,Лист4!A$2:G$395,7,FALSE)</f>
        <v>#N/A</v>
      </c>
      <c r="W300" s="247">
        <f>IF(ISNA(V300),VLOOKUP(E300,категория!A$42:C$74,3,),6.94+R300*8.333/VLOOKUP(V300,категория!A$42:C$74,2,))</f>
        <v>2.085</v>
      </c>
    </row>
    <row r="301" spans="1:23" ht="15.75">
      <c r="A301" s="277">
        <v>43845.083333333336</v>
      </c>
      <c r="B301" s="277">
        <v>43845.097222222219</v>
      </c>
      <c r="C301" s="277">
        <f t="shared" si="15"/>
        <v>1.3888888883229811E-2</v>
      </c>
      <c r="D301" s="278">
        <v>2.0833333333333332E-2</v>
      </c>
      <c r="E301" s="329" t="s">
        <v>23</v>
      </c>
      <c r="F301" s="330"/>
      <c r="G301" s="330"/>
      <c r="H301" s="330"/>
      <c r="I301" s="330"/>
      <c r="J301" s="330"/>
      <c r="K301" s="330"/>
      <c r="L301" s="330"/>
      <c r="M301" s="330"/>
      <c r="N301" s="330"/>
      <c r="O301" s="330"/>
      <c r="P301" s="330"/>
      <c r="Q301" s="330"/>
      <c r="R301" s="330"/>
      <c r="S301" s="330"/>
      <c r="T301" s="330"/>
      <c r="U301" s="331"/>
      <c r="V301" s="247" t="e">
        <f>VLOOKUP(E301,Лист4!A$2:G$395,7,FALSE)</f>
        <v>#N/A</v>
      </c>
      <c r="W301" s="247">
        <f>IF(ISNA(V301),VLOOKUP(E301,категория!A$42:C$74,3,),6.94+R301*8.333/VLOOKUP(V301,категория!A$42:C$74,2,))</f>
        <v>2.78</v>
      </c>
    </row>
    <row r="302" spans="1:23" ht="15.75">
      <c r="A302" s="277">
        <v>43845.097222222219</v>
      </c>
      <c r="B302" s="277">
        <v>43845.125</v>
      </c>
      <c r="C302" s="277">
        <f t="shared" si="15"/>
        <v>2.7777777781011537E-2</v>
      </c>
      <c r="D302" s="278">
        <v>4.1666666666666664E-2</v>
      </c>
      <c r="E302" s="329" t="s">
        <v>28</v>
      </c>
      <c r="F302" s="330"/>
      <c r="G302" s="330"/>
      <c r="H302" s="330"/>
      <c r="I302" s="330"/>
      <c r="J302" s="330"/>
      <c r="K302" s="330"/>
      <c r="L302" s="330"/>
      <c r="M302" s="330"/>
      <c r="N302" s="330"/>
      <c r="O302" s="330"/>
      <c r="P302" s="330"/>
      <c r="Q302" s="330"/>
      <c r="R302" s="330"/>
      <c r="S302" s="330"/>
      <c r="T302" s="330"/>
      <c r="U302" s="331"/>
      <c r="V302" s="247" t="e">
        <f>VLOOKUP(E302,Лист4!A$2:G$395,7,FALSE)</f>
        <v>#N/A</v>
      </c>
      <c r="W302" s="247">
        <f>IF(ISNA(V302),VLOOKUP(E302,категория!A$42:C$74,3,),6.94+R302*8.333/VLOOKUP(V302,категория!A$42:C$74,2,))</f>
        <v>8.3332999999999995</v>
      </c>
    </row>
    <row r="303" spans="1:23" ht="48">
      <c r="A303" s="336">
        <v>43845.125</v>
      </c>
      <c r="B303" s="336">
        <v>43845.177083333336</v>
      </c>
      <c r="C303" s="277">
        <f t="shared" si="15"/>
        <v>5.2083333335758653E-2</v>
      </c>
      <c r="D303" s="338">
        <v>5.2083333333333336E-2</v>
      </c>
      <c r="E303" s="340">
        <v>63</v>
      </c>
      <c r="F303" s="280" t="s">
        <v>305</v>
      </c>
      <c r="G303" s="280" t="s">
        <v>474</v>
      </c>
      <c r="H303" s="281" t="s">
        <v>242</v>
      </c>
      <c r="I303" s="282">
        <v>43851</v>
      </c>
      <c r="J303" s="283"/>
      <c r="K303" s="279" t="s">
        <v>269</v>
      </c>
      <c r="L303" s="284"/>
      <c r="M303" s="285"/>
      <c r="N303" s="280" t="s">
        <v>38</v>
      </c>
      <c r="O303" s="279">
        <v>90</v>
      </c>
      <c r="P303" s="279" t="s">
        <v>236</v>
      </c>
      <c r="Q303" s="286" t="s">
        <v>229</v>
      </c>
      <c r="R303" s="287">
        <v>3000</v>
      </c>
      <c r="S303" s="287">
        <v>3420</v>
      </c>
      <c r="T303" s="283"/>
      <c r="U303" s="287" t="s">
        <v>77</v>
      </c>
      <c r="V303" s="247" t="str">
        <f>VLOOKUP(E303,Лист4!A$2:G$395,7,FALSE)</f>
        <v>мел+офсет</v>
      </c>
      <c r="W303" s="247">
        <f>IF(ISNA(V303),VLOOKUP(E303,категория!A$42:C$74,3,),6.94+R303*8.333/VLOOKUP(V303,категория!A$42:C$74,2,))</f>
        <v>11.9398</v>
      </c>
    </row>
    <row r="304" spans="1:23">
      <c r="A304" s="337"/>
      <c r="B304" s="337"/>
      <c r="C304" s="277">
        <f t="shared" si="15"/>
        <v>0</v>
      </c>
      <c r="D304" s="339"/>
      <c r="E304" s="341"/>
      <c r="F304" s="342" t="s">
        <v>475</v>
      </c>
      <c r="G304" s="343"/>
      <c r="H304" s="343"/>
      <c r="I304" s="343"/>
      <c r="J304" s="343"/>
      <c r="K304" s="343"/>
      <c r="L304" s="343"/>
      <c r="M304" s="343"/>
      <c r="N304" s="343"/>
      <c r="O304" s="343"/>
      <c r="P304" s="343"/>
      <c r="Q304" s="343"/>
      <c r="R304" s="343"/>
      <c r="S304" s="343"/>
      <c r="T304" s="343"/>
      <c r="U304" s="344"/>
      <c r="V304" s="247" t="e">
        <f>VLOOKUP(E304,Лист4!A$2:G$395,7,FALSE)</f>
        <v>#N/A</v>
      </c>
      <c r="W304" s="247">
        <v>0</v>
      </c>
    </row>
    <row r="305" spans="1:23" ht="15.75">
      <c r="A305" s="277">
        <v>43845.177083333336</v>
      </c>
      <c r="B305" s="277">
        <v>43845.184027777781</v>
      </c>
      <c r="C305" s="277">
        <f t="shared" si="15"/>
        <v>6.9444444452528842E-3</v>
      </c>
      <c r="D305" s="278">
        <v>6.9444444444444441E-3</v>
      </c>
      <c r="E305" s="329" t="s">
        <v>170</v>
      </c>
      <c r="F305" s="330"/>
      <c r="G305" s="330"/>
      <c r="H305" s="330"/>
      <c r="I305" s="330"/>
      <c r="J305" s="330"/>
      <c r="K305" s="330"/>
      <c r="L305" s="330"/>
      <c r="M305" s="330"/>
      <c r="N305" s="330"/>
      <c r="O305" s="330"/>
      <c r="P305" s="330"/>
      <c r="Q305" s="330"/>
      <c r="R305" s="330"/>
      <c r="S305" s="330"/>
      <c r="T305" s="330"/>
      <c r="U305" s="331"/>
      <c r="V305" s="247" t="e">
        <f>VLOOKUP(E305,Лист4!A$2:G$395,7,FALSE)</f>
        <v>#N/A</v>
      </c>
      <c r="W305" s="247">
        <f>IF(ISNA(V305),VLOOKUP(E305,категория!A$42:C$74,3,),6.94+R305*8.333/VLOOKUP(V305,категория!A$42:C$74,2,))</f>
        <v>2.085</v>
      </c>
    </row>
    <row r="306" spans="1:23" ht="15.75">
      <c r="A306" s="277">
        <v>43845.184027777781</v>
      </c>
      <c r="B306" s="277">
        <v>43845.215277777781</v>
      </c>
      <c r="C306" s="277">
        <f t="shared" si="15"/>
        <v>3.125E-2</v>
      </c>
      <c r="D306" s="278">
        <v>3.472222222222222E-3</v>
      </c>
      <c r="E306" s="329" t="s">
        <v>237</v>
      </c>
      <c r="F306" s="330"/>
      <c r="G306" s="330"/>
      <c r="H306" s="330"/>
      <c r="I306" s="330"/>
      <c r="J306" s="330"/>
      <c r="K306" s="330"/>
      <c r="L306" s="330"/>
      <c r="M306" s="330"/>
      <c r="N306" s="330"/>
      <c r="O306" s="330"/>
      <c r="P306" s="330"/>
      <c r="Q306" s="330"/>
      <c r="R306" s="330"/>
      <c r="S306" s="330"/>
      <c r="T306" s="330"/>
      <c r="U306" s="331"/>
      <c r="V306" s="247" t="e">
        <f>VLOOKUP(E306,Лист4!A$2:G$395,7,FALSE)</f>
        <v>#N/A</v>
      </c>
      <c r="W306" s="247">
        <f>IF(ISNA(V306),VLOOKUP(E306,категория!A$42:C$74,3,),6.94+R306*8.333/VLOOKUP(V306,категория!A$42:C$74,2,))</f>
        <v>5.5553333333333335</v>
      </c>
    </row>
    <row r="307" spans="1:23" ht="48">
      <c r="A307" s="277">
        <v>43845.215277777781</v>
      </c>
      <c r="B307" s="277">
        <v>43845.256944444445</v>
      </c>
      <c r="C307" s="277">
        <f t="shared" si="15"/>
        <v>4.1666666664241347E-2</v>
      </c>
      <c r="D307" s="278">
        <v>4.1666666666666664E-2</v>
      </c>
      <c r="E307" s="279">
        <v>63</v>
      </c>
      <c r="F307" s="280" t="s">
        <v>305</v>
      </c>
      <c r="G307" s="280" t="s">
        <v>474</v>
      </c>
      <c r="H307" s="281" t="s">
        <v>239</v>
      </c>
      <c r="I307" s="282">
        <v>43851</v>
      </c>
      <c r="J307" s="283"/>
      <c r="K307" s="279" t="s">
        <v>324</v>
      </c>
      <c r="L307" s="284"/>
      <c r="M307" s="285"/>
      <c r="N307" s="280" t="s">
        <v>38</v>
      </c>
      <c r="O307" s="279">
        <v>90</v>
      </c>
      <c r="P307" s="279" t="s">
        <v>236</v>
      </c>
      <c r="Q307" s="286" t="s">
        <v>229</v>
      </c>
      <c r="R307" s="287">
        <v>3330</v>
      </c>
      <c r="S307" s="287">
        <v>3420</v>
      </c>
      <c r="T307" s="283"/>
      <c r="U307" s="287" t="s">
        <v>77</v>
      </c>
      <c r="V307" s="247" t="str">
        <f>VLOOKUP(E307,Лист4!A$2:G$395,7,FALSE)</f>
        <v>мел+офсет</v>
      </c>
      <c r="W307" s="247">
        <f>IF(ISNA(V307),VLOOKUP(E307,категория!A$42:C$74,3,),6.94+R307*8.333/VLOOKUP(V307,категория!A$42:C$74,2,))</f>
        <v>12.489778000000001</v>
      </c>
    </row>
    <row r="308" spans="1:23" ht="15.75">
      <c r="A308" s="277">
        <v>43845.256944444445</v>
      </c>
      <c r="B308" s="277">
        <v>43845.263888888891</v>
      </c>
      <c r="C308" s="277">
        <f t="shared" si="15"/>
        <v>6.9444444452528842E-3</v>
      </c>
      <c r="D308" s="278">
        <v>1.0416666666666666E-2</v>
      </c>
      <c r="E308" s="329" t="s">
        <v>170</v>
      </c>
      <c r="F308" s="330"/>
      <c r="G308" s="330"/>
      <c r="H308" s="330"/>
      <c r="I308" s="330"/>
      <c r="J308" s="330"/>
      <c r="K308" s="330"/>
      <c r="L308" s="330"/>
      <c r="M308" s="330"/>
      <c r="N308" s="330"/>
      <c r="O308" s="330"/>
      <c r="P308" s="330"/>
      <c r="Q308" s="330"/>
      <c r="R308" s="330"/>
      <c r="S308" s="330"/>
      <c r="T308" s="330"/>
      <c r="U308" s="331"/>
      <c r="V308" s="247" t="e">
        <f>VLOOKUP(E308,Лист4!A$2:G$395,7,FALSE)</f>
        <v>#N/A</v>
      </c>
      <c r="W308" s="247">
        <f>IF(ISNA(V308),VLOOKUP(E308,категория!A$42:C$74,3,),6.94+R308*8.333/VLOOKUP(V308,категория!A$42:C$74,2,))</f>
        <v>2.085</v>
      </c>
    </row>
    <row r="309" spans="1:23" ht="15.75">
      <c r="A309" s="277">
        <v>43845.263888888891</v>
      </c>
      <c r="B309" s="277">
        <v>43845.291666666664</v>
      </c>
      <c r="C309" s="277">
        <f t="shared" si="15"/>
        <v>2.7777777773735579E-2</v>
      </c>
      <c r="D309" s="278">
        <v>2.7777777777777776E-2</v>
      </c>
      <c r="E309" s="329" t="s">
        <v>476</v>
      </c>
      <c r="F309" s="330"/>
      <c r="G309" s="330"/>
      <c r="H309" s="330"/>
      <c r="I309" s="330"/>
      <c r="J309" s="330"/>
      <c r="K309" s="330"/>
      <c r="L309" s="330"/>
      <c r="M309" s="330"/>
      <c r="N309" s="330"/>
      <c r="O309" s="330"/>
      <c r="P309" s="330"/>
      <c r="Q309" s="330"/>
      <c r="R309" s="330"/>
      <c r="S309" s="330"/>
      <c r="T309" s="330"/>
      <c r="U309" s="331"/>
      <c r="V309" s="247" t="e">
        <f>VLOOKUP(E309,Лист4!A$2:G$395,7,FALSE)</f>
        <v>#N/A</v>
      </c>
      <c r="W309" s="247">
        <f>8.333*0.6667</f>
        <v>5.5556111000000001</v>
      </c>
    </row>
    <row r="310" spans="1:23" ht="15.75">
      <c r="A310" s="277">
        <v>43845.291666666664</v>
      </c>
      <c r="B310" s="277">
        <v>43845.333333333336</v>
      </c>
      <c r="C310" s="277">
        <f t="shared" si="15"/>
        <v>4.1666666671517305E-2</v>
      </c>
      <c r="D310" s="278">
        <v>4.1666666666666664E-2</v>
      </c>
      <c r="E310" s="329" t="s">
        <v>283</v>
      </c>
      <c r="F310" s="330"/>
      <c r="G310" s="330"/>
      <c r="H310" s="330"/>
      <c r="I310" s="330"/>
      <c r="J310" s="330"/>
      <c r="K310" s="330"/>
      <c r="L310" s="330"/>
      <c r="M310" s="330"/>
      <c r="N310" s="330"/>
      <c r="O310" s="330"/>
      <c r="P310" s="330"/>
      <c r="Q310" s="330"/>
      <c r="R310" s="330"/>
      <c r="S310" s="330"/>
      <c r="T310" s="330"/>
      <c r="U310" s="331"/>
      <c r="V310" s="247" t="e">
        <f>VLOOKUP(E310,Лист4!A$2:G$395,7,FALSE)</f>
        <v>#N/A</v>
      </c>
      <c r="W310" s="247">
        <v>8.3330000000000002</v>
      </c>
    </row>
    <row r="311" spans="1:23" ht="15.75">
      <c r="A311" s="288">
        <v>43845.333333333336</v>
      </c>
      <c r="B311" s="332" t="s">
        <v>477</v>
      </c>
      <c r="C311" s="333"/>
      <c r="D311" s="334"/>
      <c r="E311" s="334"/>
      <c r="F311" s="334"/>
      <c r="G311" s="334"/>
      <c r="H311" s="334"/>
      <c r="I311" s="334"/>
      <c r="J311" s="334"/>
      <c r="K311" s="334"/>
      <c r="L311" s="334"/>
      <c r="M311" s="334"/>
      <c r="N311" s="334"/>
      <c r="O311" s="334"/>
      <c r="P311" s="334"/>
      <c r="Q311" s="334"/>
      <c r="R311" s="334"/>
      <c r="S311" s="334"/>
      <c r="T311" s="334"/>
      <c r="U311" s="335"/>
      <c r="V311" s="247" t="e">
        <f>VLOOKUP(E311,Лист4!A$2:G$395,7,FALSE)</f>
        <v>#N/A</v>
      </c>
      <c r="W311" s="52">
        <f>SUM(W294:W310)</f>
        <v>91.076734433333314</v>
      </c>
    </row>
    <row r="312" spans="1:23" ht="15.75">
      <c r="A312" s="277">
        <v>43845.333333333336</v>
      </c>
      <c r="B312" s="277">
        <v>43845.520833333336</v>
      </c>
      <c r="C312" s="277">
        <f>B312-A312</f>
        <v>0.1875</v>
      </c>
      <c r="D312" s="278">
        <v>4.1666666666666664E-2</v>
      </c>
      <c r="E312" s="329" t="s">
        <v>283</v>
      </c>
      <c r="F312" s="330"/>
      <c r="G312" s="330"/>
      <c r="H312" s="330"/>
      <c r="I312" s="330"/>
      <c r="J312" s="330"/>
      <c r="K312" s="330"/>
      <c r="L312" s="330"/>
      <c r="M312" s="330"/>
      <c r="N312" s="330"/>
      <c r="O312" s="330"/>
      <c r="P312" s="330"/>
      <c r="Q312" s="330"/>
      <c r="R312" s="330"/>
      <c r="S312" s="330"/>
      <c r="T312" s="330"/>
      <c r="U312" s="331"/>
      <c r="V312" s="247" t="e">
        <f>VLOOKUP(E312,Лист4!A$2:G$395,7,FALSE)</f>
        <v>#N/A</v>
      </c>
      <c r="W312" s="247">
        <f>4.5*8.3333</f>
        <v>37.499849999999995</v>
      </c>
    </row>
    <row r="313" spans="1:23" ht="15.75">
      <c r="A313" s="277">
        <v>43845.520833333336</v>
      </c>
      <c r="B313" s="277">
        <v>43845.541666666664</v>
      </c>
      <c r="C313" s="277">
        <f t="shared" ref="C313:C324" si="16">B313-A313</f>
        <v>2.0833333328482695E-2</v>
      </c>
      <c r="D313" s="278">
        <v>2.0833333333333332E-2</v>
      </c>
      <c r="E313" s="329" t="s">
        <v>23</v>
      </c>
      <c r="F313" s="330"/>
      <c r="G313" s="330"/>
      <c r="H313" s="330"/>
      <c r="I313" s="330"/>
      <c r="J313" s="330"/>
      <c r="K313" s="330"/>
      <c r="L313" s="330"/>
      <c r="M313" s="330"/>
      <c r="N313" s="330"/>
      <c r="O313" s="330"/>
      <c r="P313" s="330"/>
      <c r="Q313" s="330"/>
      <c r="R313" s="330"/>
      <c r="S313" s="330"/>
      <c r="T313" s="330"/>
      <c r="U313" s="331"/>
      <c r="V313" s="247" t="e">
        <f>VLOOKUP(E313,Лист4!A$2:G$395,7,FALSE)</f>
        <v>#N/A</v>
      </c>
      <c r="W313" s="247">
        <f>IF(ISNA(V313),VLOOKUP(E313,категория!A$42:C$74,3,),6.94+R313*8.333/VLOOKUP(V313,категория!A$42:C$74,2,))</f>
        <v>2.78</v>
      </c>
    </row>
    <row r="314" spans="1:23" ht="60">
      <c r="A314" s="277">
        <v>43845.541666666664</v>
      </c>
      <c r="B314" s="277">
        <v>43845.583333333336</v>
      </c>
      <c r="C314" s="277">
        <f t="shared" si="16"/>
        <v>4.1666666671517305E-2</v>
      </c>
      <c r="D314" s="278">
        <v>4.1666666666666664E-2</v>
      </c>
      <c r="E314" s="279">
        <v>76</v>
      </c>
      <c r="F314" s="280" t="s">
        <v>243</v>
      </c>
      <c r="G314" s="280" t="s">
        <v>244</v>
      </c>
      <c r="H314" s="281" t="s">
        <v>247</v>
      </c>
      <c r="I314" s="282">
        <v>43854</v>
      </c>
      <c r="J314" s="283"/>
      <c r="K314" s="279" t="s">
        <v>240</v>
      </c>
      <c r="L314" s="284"/>
      <c r="M314" s="285"/>
      <c r="N314" s="280" t="s">
        <v>41</v>
      </c>
      <c r="O314" s="279">
        <v>115</v>
      </c>
      <c r="P314" s="279" t="s">
        <v>236</v>
      </c>
      <c r="Q314" s="286" t="s">
        <v>229</v>
      </c>
      <c r="R314" s="287">
        <v>5300</v>
      </c>
      <c r="S314" s="287">
        <v>5590</v>
      </c>
      <c r="T314" s="283"/>
      <c r="U314" s="287" t="s">
        <v>76</v>
      </c>
      <c r="V314" s="247" t="str">
        <f>VLOOKUP(E314,Лист4!A$2:G$395,7,FALSE)</f>
        <v>мел+офсет</v>
      </c>
      <c r="W314" s="247">
        <f>IF(ISNA(V314),VLOOKUP(E314,категория!A$42:C$74,3,),6.94+R314*8.333/VLOOKUP(V314,категория!A$42:C$74,2,))</f>
        <v>15.77298</v>
      </c>
    </row>
    <row r="315" spans="1:23" ht="15.75">
      <c r="A315" s="277">
        <v>43845.583333333336</v>
      </c>
      <c r="B315" s="277">
        <v>43845.586805555555</v>
      </c>
      <c r="C315" s="277">
        <f t="shared" si="16"/>
        <v>3.4722222189884633E-3</v>
      </c>
      <c r="D315" s="278">
        <v>1.0416666666666666E-2</v>
      </c>
      <c r="E315" s="329" t="s">
        <v>170</v>
      </c>
      <c r="F315" s="330"/>
      <c r="G315" s="330"/>
      <c r="H315" s="330"/>
      <c r="I315" s="330"/>
      <c r="J315" s="330"/>
      <c r="K315" s="330"/>
      <c r="L315" s="330"/>
      <c r="M315" s="330"/>
      <c r="N315" s="330"/>
      <c r="O315" s="330"/>
      <c r="P315" s="330"/>
      <c r="Q315" s="330"/>
      <c r="R315" s="330"/>
      <c r="S315" s="330"/>
      <c r="T315" s="330"/>
      <c r="U315" s="331"/>
      <c r="V315" s="247" t="e">
        <f>VLOOKUP(E315,Лист4!A$2:G$395,7,FALSE)</f>
        <v>#N/A</v>
      </c>
      <c r="W315" s="247">
        <f>IF(ISNA(V315),VLOOKUP(E315,категория!A$42:C$74,3,),6.94+R315*8.333/VLOOKUP(V315,категория!A$42:C$74,2,))</f>
        <v>2.085</v>
      </c>
    </row>
    <row r="316" spans="1:23" ht="60">
      <c r="A316" s="277">
        <v>43845.586805555555</v>
      </c>
      <c r="B316" s="277">
        <v>43845.625</v>
      </c>
      <c r="C316" s="277">
        <f t="shared" si="16"/>
        <v>3.8194444445252884E-2</v>
      </c>
      <c r="D316" s="278">
        <v>3.8194444444444441E-2</v>
      </c>
      <c r="E316" s="279">
        <v>76</v>
      </c>
      <c r="F316" s="280" t="s">
        <v>243</v>
      </c>
      <c r="G316" s="280" t="s">
        <v>244</v>
      </c>
      <c r="H316" s="281" t="s">
        <v>246</v>
      </c>
      <c r="I316" s="282">
        <v>43854</v>
      </c>
      <c r="J316" s="283"/>
      <c r="K316" s="279" t="s">
        <v>240</v>
      </c>
      <c r="L316" s="284"/>
      <c r="M316" s="285"/>
      <c r="N316" s="280" t="s">
        <v>41</v>
      </c>
      <c r="O316" s="279">
        <v>115</v>
      </c>
      <c r="P316" s="279" t="s">
        <v>236</v>
      </c>
      <c r="Q316" s="286" t="s">
        <v>229</v>
      </c>
      <c r="R316" s="287">
        <v>5090</v>
      </c>
      <c r="S316" s="287">
        <v>5590</v>
      </c>
      <c r="T316" s="283"/>
      <c r="U316" s="287" t="s">
        <v>76</v>
      </c>
      <c r="V316" s="247" t="str">
        <f>VLOOKUP(E316,Лист4!A$2:G$395,7,FALSE)</f>
        <v>мел+офсет</v>
      </c>
      <c r="W316" s="247">
        <f>IF(ISNA(V316),VLOOKUP(E316,категория!A$42:C$74,3,),6.94+R316*8.333/VLOOKUP(V316,категория!A$42:C$74,2,))</f>
        <v>15.422993999999999</v>
      </c>
    </row>
    <row r="317" spans="1:23" ht="15.75">
      <c r="A317" s="277">
        <v>43845.625</v>
      </c>
      <c r="B317" s="277">
        <v>43845.628472222219</v>
      </c>
      <c r="C317" s="277">
        <f t="shared" si="16"/>
        <v>3.4722222189884633E-3</v>
      </c>
      <c r="D317" s="278">
        <v>1.0416666666666666E-2</v>
      </c>
      <c r="E317" s="329" t="s">
        <v>170</v>
      </c>
      <c r="F317" s="330"/>
      <c r="G317" s="330"/>
      <c r="H317" s="330"/>
      <c r="I317" s="330"/>
      <c r="J317" s="330"/>
      <c r="K317" s="330"/>
      <c r="L317" s="330"/>
      <c r="M317" s="330"/>
      <c r="N317" s="330"/>
      <c r="O317" s="330"/>
      <c r="P317" s="330"/>
      <c r="Q317" s="330"/>
      <c r="R317" s="330"/>
      <c r="S317" s="330"/>
      <c r="T317" s="330"/>
      <c r="U317" s="331"/>
      <c r="V317" s="247" t="e">
        <f>VLOOKUP(E317,Лист4!A$2:G$395,7,FALSE)</f>
        <v>#N/A</v>
      </c>
      <c r="W317" s="247">
        <f>IF(ISNA(V317),VLOOKUP(E317,категория!A$42:C$74,3,),6.94+R317*8.333/VLOOKUP(V317,категория!A$42:C$74,2,))</f>
        <v>2.085</v>
      </c>
    </row>
    <row r="318" spans="1:23" ht="15.75">
      <c r="A318" s="277">
        <v>43845.628472222219</v>
      </c>
      <c r="B318" s="277">
        <v>43845.638888888891</v>
      </c>
      <c r="C318" s="277">
        <f t="shared" si="16"/>
        <v>1.0416666671517305E-2</v>
      </c>
      <c r="D318" s="278">
        <v>3.472222222222222E-3</v>
      </c>
      <c r="E318" s="329" t="s">
        <v>327</v>
      </c>
      <c r="F318" s="330"/>
      <c r="G318" s="330"/>
      <c r="H318" s="330"/>
      <c r="I318" s="330"/>
      <c r="J318" s="330"/>
      <c r="K318" s="330"/>
      <c r="L318" s="330"/>
      <c r="M318" s="330"/>
      <c r="N318" s="330"/>
      <c r="O318" s="330"/>
      <c r="P318" s="330"/>
      <c r="Q318" s="330"/>
      <c r="R318" s="330"/>
      <c r="S318" s="330"/>
      <c r="T318" s="330"/>
      <c r="U318" s="331"/>
      <c r="V318" s="247" t="e">
        <f>VLOOKUP(E318,Лист4!A$2:G$395,7,FALSE)</f>
        <v>#N/A</v>
      </c>
      <c r="W318" s="247">
        <f>8.33*0.25</f>
        <v>2.0825</v>
      </c>
    </row>
    <row r="319" spans="1:23" ht="60">
      <c r="A319" s="277">
        <v>43845.638888888891</v>
      </c>
      <c r="B319" s="277">
        <v>43845.677083333336</v>
      </c>
      <c r="C319" s="277">
        <f t="shared" si="16"/>
        <v>3.8194444445252884E-2</v>
      </c>
      <c r="D319" s="278">
        <v>3.8194444444444441E-2</v>
      </c>
      <c r="E319" s="279">
        <v>76</v>
      </c>
      <c r="F319" s="280" t="s">
        <v>243</v>
      </c>
      <c r="G319" s="280" t="s">
        <v>244</v>
      </c>
      <c r="H319" s="281" t="s">
        <v>245</v>
      </c>
      <c r="I319" s="282">
        <v>43854</v>
      </c>
      <c r="J319" s="283"/>
      <c r="K319" s="279" t="s">
        <v>227</v>
      </c>
      <c r="L319" s="284"/>
      <c r="M319" s="285"/>
      <c r="N319" s="280" t="s">
        <v>41</v>
      </c>
      <c r="O319" s="279">
        <v>115</v>
      </c>
      <c r="P319" s="279" t="s">
        <v>236</v>
      </c>
      <c r="Q319" s="286" t="s">
        <v>229</v>
      </c>
      <c r="R319" s="287">
        <v>5250</v>
      </c>
      <c r="S319" s="287">
        <v>5590</v>
      </c>
      <c r="T319" s="283"/>
      <c r="U319" s="287" t="s">
        <v>76</v>
      </c>
      <c r="V319" s="247" t="str">
        <f>VLOOKUP(E319,Лист4!A$2:G$395,7,FALSE)</f>
        <v>мел+офсет</v>
      </c>
      <c r="W319" s="247">
        <f>IF(ISNA(V319),VLOOKUP(E319,категория!A$42:C$74,3,),6.94+R319*8.333/VLOOKUP(V319,категория!A$42:C$74,2,))</f>
        <v>15.68965</v>
      </c>
    </row>
    <row r="320" spans="1:23" ht="15.75">
      <c r="A320" s="277">
        <v>43845.677083333336</v>
      </c>
      <c r="B320" s="277">
        <v>43845.680555555555</v>
      </c>
      <c r="C320" s="277">
        <f t="shared" si="16"/>
        <v>3.4722222189884633E-3</v>
      </c>
      <c r="D320" s="278">
        <v>1.0416666666666666E-2</v>
      </c>
      <c r="E320" s="329" t="s">
        <v>170</v>
      </c>
      <c r="F320" s="330"/>
      <c r="G320" s="330"/>
      <c r="H320" s="330"/>
      <c r="I320" s="330"/>
      <c r="J320" s="330"/>
      <c r="K320" s="330"/>
      <c r="L320" s="330"/>
      <c r="M320" s="330"/>
      <c r="N320" s="330"/>
      <c r="O320" s="330"/>
      <c r="P320" s="330"/>
      <c r="Q320" s="330"/>
      <c r="R320" s="330"/>
      <c r="S320" s="330"/>
      <c r="T320" s="330"/>
      <c r="U320" s="331"/>
      <c r="V320" s="247" t="e">
        <f>VLOOKUP(E320,Лист4!A$2:G$395,7,FALSE)</f>
        <v>#N/A</v>
      </c>
      <c r="W320" s="247">
        <f>IF(ISNA(V320),VLOOKUP(E320,категория!A$42:C$74,3,),6.94+R320*8.333/VLOOKUP(V320,категория!A$42:C$74,2,))</f>
        <v>2.085</v>
      </c>
    </row>
    <row r="321" spans="1:23" ht="15.75">
      <c r="A321" s="277">
        <v>43845.680555555555</v>
      </c>
      <c r="B321" s="277">
        <v>43845.694444444445</v>
      </c>
      <c r="C321" s="277">
        <f t="shared" si="16"/>
        <v>1.3888888890505768E-2</v>
      </c>
      <c r="D321" s="278">
        <v>3.472222222222222E-3</v>
      </c>
      <c r="E321" s="329" t="s">
        <v>327</v>
      </c>
      <c r="F321" s="330"/>
      <c r="G321" s="330"/>
      <c r="H321" s="330"/>
      <c r="I321" s="330"/>
      <c r="J321" s="330"/>
      <c r="K321" s="330"/>
      <c r="L321" s="330"/>
      <c r="M321" s="330"/>
      <c r="N321" s="330"/>
      <c r="O321" s="330"/>
      <c r="P321" s="330"/>
      <c r="Q321" s="330"/>
      <c r="R321" s="330"/>
      <c r="S321" s="330"/>
      <c r="T321" s="330"/>
      <c r="U321" s="331"/>
      <c r="V321" s="247" t="e">
        <f>VLOOKUP(E321,Лист4!A$2:G$395,7,FALSE)</f>
        <v>#N/A</v>
      </c>
      <c r="W321" s="247">
        <f>8.333*0.333</f>
        <v>2.7748890000000004</v>
      </c>
    </row>
    <row r="322" spans="1:23" ht="60">
      <c r="A322" s="277">
        <v>43845.694444444445</v>
      </c>
      <c r="B322" s="277">
        <v>43845.736111111109</v>
      </c>
      <c r="C322" s="277">
        <f t="shared" si="16"/>
        <v>4.1666666664241347E-2</v>
      </c>
      <c r="D322" s="278">
        <v>4.1666666666666664E-2</v>
      </c>
      <c r="E322" s="279">
        <v>76</v>
      </c>
      <c r="F322" s="280" t="s">
        <v>243</v>
      </c>
      <c r="G322" s="280" t="s">
        <v>244</v>
      </c>
      <c r="H322" s="281" t="s">
        <v>248</v>
      </c>
      <c r="I322" s="282">
        <v>43854</v>
      </c>
      <c r="J322" s="283"/>
      <c r="K322" s="279" t="s">
        <v>227</v>
      </c>
      <c r="L322" s="284"/>
      <c r="M322" s="285"/>
      <c r="N322" s="280" t="s">
        <v>41</v>
      </c>
      <c r="O322" s="279">
        <v>115</v>
      </c>
      <c r="P322" s="279" t="s">
        <v>236</v>
      </c>
      <c r="Q322" s="286" t="s">
        <v>229</v>
      </c>
      <c r="R322" s="287">
        <v>5250</v>
      </c>
      <c r="S322" s="287">
        <v>5590</v>
      </c>
      <c r="T322" s="283"/>
      <c r="U322" s="287" t="s">
        <v>76</v>
      </c>
      <c r="V322" s="247" t="str">
        <f>VLOOKUP(E322,Лист4!A$2:G$395,7,FALSE)</f>
        <v>мел+офсет</v>
      </c>
      <c r="W322" s="247">
        <f>IF(ISNA(V322),VLOOKUP(E322,категория!A$42:C$74,3,),6.94+R322*8.333/VLOOKUP(V322,категория!A$42:C$74,2,))</f>
        <v>15.68965</v>
      </c>
    </row>
    <row r="323" spans="1:23" ht="15.75">
      <c r="A323" s="277">
        <v>43845.736111111109</v>
      </c>
      <c r="B323" s="277">
        <v>43845.739583333336</v>
      </c>
      <c r="C323" s="277">
        <f t="shared" si="16"/>
        <v>3.4722222262644209E-3</v>
      </c>
      <c r="D323" s="278">
        <v>1.0416666666666666E-2</v>
      </c>
      <c r="E323" s="329" t="s">
        <v>170</v>
      </c>
      <c r="F323" s="330"/>
      <c r="G323" s="330"/>
      <c r="H323" s="330"/>
      <c r="I323" s="330"/>
      <c r="J323" s="330"/>
      <c r="K323" s="330"/>
      <c r="L323" s="330"/>
      <c r="M323" s="330"/>
      <c r="N323" s="330"/>
      <c r="O323" s="330"/>
      <c r="P323" s="330"/>
      <c r="Q323" s="330"/>
      <c r="R323" s="330"/>
      <c r="S323" s="330"/>
      <c r="T323" s="330"/>
      <c r="U323" s="331"/>
      <c r="V323" s="247" t="e">
        <f>VLOOKUP(E323,Лист4!A$2:G$395,7,FALSE)</f>
        <v>#N/A</v>
      </c>
      <c r="W323" s="247">
        <f>IF(ISNA(V323),VLOOKUP(E323,категория!A$42:C$74,3,),6.94+R323*8.333/VLOOKUP(V323,категория!A$42:C$74,2,))</f>
        <v>2.085</v>
      </c>
    </row>
    <row r="324" spans="1:23" ht="15.75">
      <c r="A324" s="277">
        <v>43845.739583333336</v>
      </c>
      <c r="B324" s="277">
        <v>43845.833333333336</v>
      </c>
      <c r="C324" s="277">
        <f t="shared" si="16"/>
        <v>9.375E-2</v>
      </c>
      <c r="D324" s="278">
        <v>4.1666666666666664E-2</v>
      </c>
      <c r="E324" s="329" t="s">
        <v>283</v>
      </c>
      <c r="F324" s="330"/>
      <c r="G324" s="330"/>
      <c r="H324" s="330"/>
      <c r="I324" s="330"/>
      <c r="J324" s="330"/>
      <c r="K324" s="330"/>
      <c r="L324" s="330"/>
      <c r="M324" s="330"/>
      <c r="N324" s="330"/>
      <c r="O324" s="330"/>
      <c r="P324" s="330"/>
      <c r="Q324" s="330"/>
      <c r="R324" s="330"/>
      <c r="S324" s="330"/>
      <c r="T324" s="330"/>
      <c r="U324" s="331"/>
      <c r="V324" s="247" t="e">
        <f>VLOOKUP(E324,Лист4!A$2:G$395,7,FALSE)</f>
        <v>#N/A</v>
      </c>
      <c r="W324" s="247">
        <f>2.125*8.333</f>
        <v>17.707625</v>
      </c>
    </row>
    <row r="325" spans="1:23" ht="15.75">
      <c r="A325" s="288">
        <v>43845.833333333336</v>
      </c>
      <c r="B325" s="332" t="s">
        <v>478</v>
      </c>
      <c r="C325" s="333"/>
      <c r="D325" s="334"/>
      <c r="E325" s="334"/>
      <c r="F325" s="334"/>
      <c r="G325" s="334"/>
      <c r="H325" s="334"/>
      <c r="I325" s="334"/>
      <c r="J325" s="334"/>
      <c r="K325" s="334"/>
      <c r="L325" s="334"/>
      <c r="M325" s="334"/>
      <c r="N325" s="334"/>
      <c r="O325" s="334"/>
      <c r="P325" s="334"/>
      <c r="Q325" s="334"/>
      <c r="R325" s="334"/>
      <c r="S325" s="334"/>
      <c r="T325" s="334"/>
      <c r="U325" s="335"/>
      <c r="V325" s="247" t="e">
        <f>VLOOKUP(E325,Лист4!A$2:G$395,7,FALSE)</f>
        <v>#N/A</v>
      </c>
      <c r="W325" s="52">
        <f>SUM(W312:W324)</f>
        <v>133.76013799999998</v>
      </c>
    </row>
    <row r="326" spans="1:23" ht="15.75">
      <c r="A326" s="277">
        <v>43845.833333333336</v>
      </c>
      <c r="B326" s="277">
        <v>43845.854166666664</v>
      </c>
      <c r="C326" s="277">
        <f>B326-A326</f>
        <v>2.0833333328482695E-2</v>
      </c>
      <c r="D326" s="278">
        <v>2.0833333333333332E-2</v>
      </c>
      <c r="E326" s="329" t="s">
        <v>22</v>
      </c>
      <c r="F326" s="330"/>
      <c r="G326" s="330"/>
      <c r="H326" s="330"/>
      <c r="I326" s="330"/>
      <c r="J326" s="330"/>
      <c r="K326" s="330"/>
      <c r="L326" s="330"/>
      <c r="M326" s="330"/>
      <c r="N326" s="330"/>
      <c r="O326" s="330"/>
      <c r="P326" s="330"/>
      <c r="Q326" s="330"/>
      <c r="R326" s="330"/>
      <c r="S326" s="330"/>
      <c r="T326" s="330"/>
      <c r="U326" s="331"/>
      <c r="V326" s="247" t="e">
        <f>VLOOKUP(E326,Лист4!A$2:G$395,7,FALSE)</f>
        <v>#N/A</v>
      </c>
      <c r="W326" s="247">
        <f>IF(ISNA(V326),VLOOKUP(E326,категория!A$42:C$74,3,),6.94+R326*8.333/VLOOKUP(V326,категория!A$42:C$74,2,))</f>
        <v>4.17</v>
      </c>
    </row>
    <row r="327" spans="1:23" ht="15.75">
      <c r="A327" s="277">
        <v>43845.854166666664</v>
      </c>
      <c r="B327" s="277">
        <v>43845.875</v>
      </c>
      <c r="C327" s="277">
        <f t="shared" ref="C327:C351" si="17">B327-A327</f>
        <v>2.0833333335758653E-2</v>
      </c>
      <c r="D327" s="278">
        <v>6.9444444444444434E-2</v>
      </c>
      <c r="E327" s="329" t="s">
        <v>18</v>
      </c>
      <c r="F327" s="330"/>
      <c r="G327" s="330"/>
      <c r="H327" s="330"/>
      <c r="I327" s="330"/>
      <c r="J327" s="330"/>
      <c r="K327" s="330"/>
      <c r="L327" s="330"/>
      <c r="M327" s="330"/>
      <c r="N327" s="330"/>
      <c r="O327" s="330"/>
      <c r="P327" s="330"/>
      <c r="Q327" s="330"/>
      <c r="R327" s="330"/>
      <c r="S327" s="330"/>
      <c r="T327" s="330"/>
      <c r="U327" s="331"/>
      <c r="V327" s="247" t="e">
        <f>VLOOKUP(E327,Лист4!A$2:G$395,7,FALSE)</f>
        <v>#N/A</v>
      </c>
      <c r="W327" s="247">
        <f>IF(ISNA(V327),VLOOKUP(E327,категория!A$42:C$74,3,),6.94+R327*8.333/VLOOKUP(V327,категория!A$42:C$74,2,))</f>
        <v>13.9</v>
      </c>
    </row>
    <row r="328" spans="1:23" ht="15.75">
      <c r="A328" s="277">
        <v>43845.875</v>
      </c>
      <c r="B328" s="277">
        <v>43845.885416666664</v>
      </c>
      <c r="C328" s="277">
        <f t="shared" si="17"/>
        <v>1.0416666664241347E-2</v>
      </c>
      <c r="D328" s="278">
        <v>1.0416666666666666E-2</v>
      </c>
      <c r="E328" s="329" t="s">
        <v>8</v>
      </c>
      <c r="F328" s="330"/>
      <c r="G328" s="330"/>
      <c r="H328" s="330"/>
      <c r="I328" s="330"/>
      <c r="J328" s="330"/>
      <c r="K328" s="330"/>
      <c r="L328" s="330"/>
      <c r="M328" s="330"/>
      <c r="N328" s="330"/>
      <c r="O328" s="330"/>
      <c r="P328" s="330"/>
      <c r="Q328" s="330"/>
      <c r="R328" s="330"/>
      <c r="S328" s="330"/>
      <c r="T328" s="330"/>
      <c r="U328" s="331"/>
      <c r="V328" s="247" t="e">
        <f>VLOOKUP(E328,Лист4!A$2:G$395,7,FALSE)</f>
        <v>#N/A</v>
      </c>
      <c r="W328" s="247">
        <f>IF(ISNA(V328),VLOOKUP(E328,категория!A$42:C$74,3,),6.94+R328*8.333/VLOOKUP(V328,категория!A$42:C$74,2,))</f>
        <v>4.17</v>
      </c>
    </row>
    <row r="329" spans="1:23" ht="15.75">
      <c r="A329" s="277">
        <v>43845.885416666664</v>
      </c>
      <c r="B329" s="277">
        <v>43845.895833333336</v>
      </c>
      <c r="C329" s="277">
        <f t="shared" si="17"/>
        <v>1.0416666671517305E-2</v>
      </c>
      <c r="D329" s="278">
        <v>3.472222222222222E-3</v>
      </c>
      <c r="E329" s="329" t="s">
        <v>327</v>
      </c>
      <c r="F329" s="330"/>
      <c r="G329" s="330"/>
      <c r="H329" s="330"/>
      <c r="I329" s="330"/>
      <c r="J329" s="330"/>
      <c r="K329" s="330"/>
      <c r="L329" s="330"/>
      <c r="M329" s="330"/>
      <c r="N329" s="330"/>
      <c r="O329" s="330"/>
      <c r="P329" s="330"/>
      <c r="Q329" s="330"/>
      <c r="R329" s="330"/>
      <c r="S329" s="330"/>
      <c r="T329" s="330"/>
      <c r="U329" s="331"/>
      <c r="V329" s="247" t="e">
        <f>VLOOKUP(E329,Лист4!A$2:G$395,7,FALSE)</f>
        <v>#N/A</v>
      </c>
      <c r="W329" s="247">
        <f>8.33*0.25</f>
        <v>2.0825</v>
      </c>
    </row>
    <row r="330" spans="1:23" ht="15.75">
      <c r="A330" s="277">
        <v>43845.895833333336</v>
      </c>
      <c r="B330" s="277">
        <v>43845.90625</v>
      </c>
      <c r="C330" s="277">
        <f t="shared" si="17"/>
        <v>1.0416666664241347E-2</v>
      </c>
      <c r="D330" s="278">
        <v>2.7777777777777776E-2</v>
      </c>
      <c r="E330" s="329" t="s">
        <v>29</v>
      </c>
      <c r="F330" s="330"/>
      <c r="G330" s="330"/>
      <c r="H330" s="330"/>
      <c r="I330" s="330"/>
      <c r="J330" s="330"/>
      <c r="K330" s="330"/>
      <c r="L330" s="330"/>
      <c r="M330" s="330"/>
      <c r="N330" s="330"/>
      <c r="O330" s="330"/>
      <c r="P330" s="330"/>
      <c r="Q330" s="330"/>
      <c r="R330" s="330"/>
      <c r="S330" s="330"/>
      <c r="T330" s="330"/>
      <c r="U330" s="331"/>
      <c r="V330" s="247" t="e">
        <f>VLOOKUP(E330,Лист4!A$2:G$395,7,FALSE)</f>
        <v>#N/A</v>
      </c>
      <c r="W330" s="247">
        <f>IF(ISNA(V330),VLOOKUP(E330,категория!A$42:C$74,3,),6.94+R330*8.333/VLOOKUP(V330,категория!A$42:C$74,2,))</f>
        <v>5.55</v>
      </c>
    </row>
    <row r="331" spans="1:23" ht="15.75">
      <c r="A331" s="277">
        <v>43845.90625</v>
      </c>
      <c r="B331" s="277">
        <v>43845.9375</v>
      </c>
      <c r="C331" s="277">
        <f t="shared" si="17"/>
        <v>3.125E-2</v>
      </c>
      <c r="D331" s="278">
        <v>2.4305555555555556E-2</v>
      </c>
      <c r="E331" s="329" t="s">
        <v>171</v>
      </c>
      <c r="F331" s="330"/>
      <c r="G331" s="330"/>
      <c r="H331" s="330"/>
      <c r="I331" s="330"/>
      <c r="J331" s="330"/>
      <c r="K331" s="330"/>
      <c r="L331" s="330"/>
      <c r="M331" s="330"/>
      <c r="N331" s="330"/>
      <c r="O331" s="330"/>
      <c r="P331" s="330"/>
      <c r="Q331" s="330"/>
      <c r="R331" s="330"/>
      <c r="S331" s="330"/>
      <c r="T331" s="330"/>
      <c r="U331" s="331"/>
      <c r="V331" s="247" t="e">
        <f>VLOOKUP(E331,Лист4!A$2:G$395,7,FALSE)</f>
        <v>#N/A</v>
      </c>
      <c r="W331" s="247">
        <f>IF(ISNA(V331),VLOOKUP(E331,категория!A$42:C$74,3,),6.94+R331*8.333/VLOOKUP(V331,категория!A$42:C$74,2,))</f>
        <v>5.55</v>
      </c>
    </row>
    <row r="332" spans="1:23" ht="15.75">
      <c r="A332" s="277">
        <v>43845.9375</v>
      </c>
      <c r="B332" s="277">
        <v>43845.958333333336</v>
      </c>
      <c r="C332" s="277">
        <f t="shared" si="17"/>
        <v>2.0833333335758653E-2</v>
      </c>
      <c r="D332" s="278">
        <v>3.472222222222222E-3</v>
      </c>
      <c r="E332" s="329" t="s">
        <v>24</v>
      </c>
      <c r="F332" s="330"/>
      <c r="G332" s="330"/>
      <c r="H332" s="330"/>
      <c r="I332" s="330"/>
      <c r="J332" s="330"/>
      <c r="K332" s="330"/>
      <c r="L332" s="330"/>
      <c r="M332" s="330"/>
      <c r="N332" s="330"/>
      <c r="O332" s="330"/>
      <c r="P332" s="330"/>
      <c r="Q332" s="330"/>
      <c r="R332" s="330"/>
      <c r="S332" s="330"/>
      <c r="T332" s="330"/>
      <c r="U332" s="331"/>
      <c r="V332" s="247" t="e">
        <f>VLOOKUP(E332,Лист4!A$2:G$395,7,FALSE)</f>
        <v>#N/A</v>
      </c>
      <c r="W332" s="247">
        <f>IF(ISNA(V332),VLOOKUP(E332,категория!A$42:C$74,3,),6.94+R332*8.333/VLOOKUP(V332,категория!A$42:C$74,2,))</f>
        <v>3.47</v>
      </c>
    </row>
    <row r="333" spans="1:23" ht="15.75">
      <c r="A333" s="277">
        <v>43845.958333333336</v>
      </c>
      <c r="B333" s="277">
        <v>43845.96875</v>
      </c>
      <c r="C333" s="277">
        <f t="shared" si="17"/>
        <v>1.0416666664241347E-2</v>
      </c>
      <c r="D333" s="278">
        <v>2.0833333333333332E-2</v>
      </c>
      <c r="E333" s="329" t="s">
        <v>23</v>
      </c>
      <c r="F333" s="330"/>
      <c r="G333" s="330"/>
      <c r="H333" s="330"/>
      <c r="I333" s="330"/>
      <c r="J333" s="330"/>
      <c r="K333" s="330"/>
      <c r="L333" s="330"/>
      <c r="M333" s="330"/>
      <c r="N333" s="330"/>
      <c r="O333" s="330"/>
      <c r="P333" s="330"/>
      <c r="Q333" s="330"/>
      <c r="R333" s="330"/>
      <c r="S333" s="330"/>
      <c r="T333" s="330"/>
      <c r="U333" s="331"/>
      <c r="V333" s="247" t="e">
        <f>VLOOKUP(E333,Лист4!A$2:G$395,7,FALSE)</f>
        <v>#N/A</v>
      </c>
      <c r="W333" s="247">
        <f>IF(ISNA(V333),VLOOKUP(E333,категория!A$42:C$74,3,),6.94+R333*8.333/VLOOKUP(V333,категория!A$42:C$74,2,))</f>
        <v>2.78</v>
      </c>
    </row>
    <row r="334" spans="1:23" ht="48">
      <c r="A334" s="277">
        <v>43845.96875</v>
      </c>
      <c r="B334" s="277">
        <v>43846.006944444445</v>
      </c>
      <c r="C334" s="277">
        <f t="shared" si="17"/>
        <v>3.8194444445252884E-2</v>
      </c>
      <c r="D334" s="278">
        <v>3.8194444444444441E-2</v>
      </c>
      <c r="E334" s="279">
        <v>17</v>
      </c>
      <c r="F334" s="280" t="s">
        <v>444</v>
      </c>
      <c r="G334" s="280" t="s">
        <v>479</v>
      </c>
      <c r="H334" s="281" t="s">
        <v>258</v>
      </c>
      <c r="I334" s="282">
        <v>43845</v>
      </c>
      <c r="J334" s="283"/>
      <c r="K334" s="279" t="s">
        <v>227</v>
      </c>
      <c r="L334" s="284"/>
      <c r="M334" s="285" t="s">
        <v>254</v>
      </c>
      <c r="N334" s="280" t="s">
        <v>318</v>
      </c>
      <c r="O334" s="279">
        <v>235</v>
      </c>
      <c r="P334" s="279" t="s">
        <v>446</v>
      </c>
      <c r="Q334" s="286" t="s">
        <v>229</v>
      </c>
      <c r="R334" s="287">
        <v>3000</v>
      </c>
      <c r="S334" s="287">
        <v>3358</v>
      </c>
      <c r="T334" s="283" t="s">
        <v>232</v>
      </c>
      <c r="U334" s="287" t="s">
        <v>77</v>
      </c>
      <c r="V334" s="247" t="s">
        <v>286</v>
      </c>
      <c r="W334" s="247">
        <f>IF(ISNA(V334),VLOOKUP(E334,категория!A$42:C$74,3,),6.94+R334*8.333/VLOOKUP(V334,категория!A$42:C$74,2,))</f>
        <v>14.515454545454546</v>
      </c>
    </row>
    <row r="335" spans="1:23" ht="15.75">
      <c r="A335" s="277">
        <v>43846.006944444445</v>
      </c>
      <c r="B335" s="277">
        <v>43846.013888888891</v>
      </c>
      <c r="C335" s="277">
        <f t="shared" si="17"/>
        <v>6.9444444452528842E-3</v>
      </c>
      <c r="D335" s="278">
        <v>2.0833333333333332E-2</v>
      </c>
      <c r="E335" s="329" t="s">
        <v>2</v>
      </c>
      <c r="F335" s="330"/>
      <c r="G335" s="330"/>
      <c r="H335" s="330"/>
      <c r="I335" s="330"/>
      <c r="J335" s="330"/>
      <c r="K335" s="330"/>
      <c r="L335" s="330"/>
      <c r="M335" s="330"/>
      <c r="N335" s="330"/>
      <c r="O335" s="330"/>
      <c r="P335" s="330"/>
      <c r="Q335" s="330"/>
      <c r="R335" s="330"/>
      <c r="S335" s="330"/>
      <c r="T335" s="330"/>
      <c r="U335" s="331"/>
      <c r="V335" s="247" t="e">
        <f>VLOOKUP(E335,Лист4!A$2:G$395,7,FALSE)</f>
        <v>#N/A</v>
      </c>
      <c r="W335" s="247">
        <f>IF(ISNA(V335),VLOOKUP(E335,категория!A$42:C$74,3,),6.94+R335*8.333/VLOOKUP(V335,категория!A$42:C$74,2,))</f>
        <v>4.17</v>
      </c>
    </row>
    <row r="336" spans="1:23" ht="15.75">
      <c r="A336" s="277">
        <v>43846.013888888891</v>
      </c>
      <c r="B336" s="277">
        <v>43846.024305555555</v>
      </c>
      <c r="C336" s="277">
        <f t="shared" si="17"/>
        <v>1.0416666664241347E-2</v>
      </c>
      <c r="D336" s="278">
        <v>3.472222222222222E-3</v>
      </c>
      <c r="E336" s="329" t="s">
        <v>327</v>
      </c>
      <c r="F336" s="330"/>
      <c r="G336" s="330"/>
      <c r="H336" s="330"/>
      <c r="I336" s="330"/>
      <c r="J336" s="330"/>
      <c r="K336" s="330"/>
      <c r="L336" s="330"/>
      <c r="M336" s="330"/>
      <c r="N336" s="330"/>
      <c r="O336" s="330"/>
      <c r="P336" s="330"/>
      <c r="Q336" s="330"/>
      <c r="R336" s="330"/>
      <c r="S336" s="330"/>
      <c r="T336" s="330"/>
      <c r="U336" s="331"/>
      <c r="V336" s="247" t="e">
        <f>VLOOKUP(E336,Лист4!A$2:G$395,7,FALSE)</f>
        <v>#N/A</v>
      </c>
      <c r="W336" s="247">
        <f>8.33*0.25</f>
        <v>2.0825</v>
      </c>
    </row>
    <row r="337" spans="1:23" ht="48">
      <c r="A337" s="277">
        <v>43846.024305555555</v>
      </c>
      <c r="B337" s="277">
        <v>43846.052083333336</v>
      </c>
      <c r="C337" s="277">
        <f t="shared" si="17"/>
        <v>2.7777777781011537E-2</v>
      </c>
      <c r="D337" s="278">
        <v>2.7777777777777776E-2</v>
      </c>
      <c r="E337" s="279">
        <v>17</v>
      </c>
      <c r="F337" s="280" t="s">
        <v>444</v>
      </c>
      <c r="G337" s="280" t="s">
        <v>479</v>
      </c>
      <c r="H337" s="281" t="s">
        <v>259</v>
      </c>
      <c r="I337" s="282">
        <v>43845</v>
      </c>
      <c r="J337" s="283"/>
      <c r="K337" s="279" t="s">
        <v>227</v>
      </c>
      <c r="L337" s="284"/>
      <c r="M337" s="285" t="s">
        <v>254</v>
      </c>
      <c r="N337" s="280" t="s">
        <v>318</v>
      </c>
      <c r="O337" s="279">
        <v>235</v>
      </c>
      <c r="P337" s="279" t="s">
        <v>446</v>
      </c>
      <c r="Q337" s="286" t="s">
        <v>229</v>
      </c>
      <c r="R337" s="287">
        <v>2800</v>
      </c>
      <c r="S337" s="287">
        <v>2442</v>
      </c>
      <c r="T337" s="283" t="s">
        <v>232</v>
      </c>
      <c r="U337" s="287" t="s">
        <v>77</v>
      </c>
      <c r="V337" s="247" t="s">
        <v>286</v>
      </c>
      <c r="W337" s="247">
        <f>IF(ISNA(V337),VLOOKUP(E337,категория!A$42:C$74,3,),R337*8.333/VLOOKUP(V337,категория!A$42:C$74,2,))</f>
        <v>7.0704242424242425</v>
      </c>
    </row>
    <row r="338" spans="1:23" ht="15.75">
      <c r="A338" s="277">
        <v>43846.052083333336</v>
      </c>
      <c r="B338" s="277">
        <v>43846.059027777781</v>
      </c>
      <c r="C338" s="277">
        <f t="shared" si="17"/>
        <v>6.9444444452528842E-3</v>
      </c>
      <c r="D338" s="278">
        <v>2.0833333333333332E-2</v>
      </c>
      <c r="E338" s="329" t="s">
        <v>2</v>
      </c>
      <c r="F338" s="330"/>
      <c r="G338" s="330"/>
      <c r="H338" s="330"/>
      <c r="I338" s="330"/>
      <c r="J338" s="330"/>
      <c r="K338" s="330"/>
      <c r="L338" s="330"/>
      <c r="M338" s="330"/>
      <c r="N338" s="330"/>
      <c r="O338" s="330"/>
      <c r="P338" s="330"/>
      <c r="Q338" s="330"/>
      <c r="R338" s="330"/>
      <c r="S338" s="330"/>
      <c r="T338" s="330"/>
      <c r="U338" s="331"/>
      <c r="V338" s="247" t="e">
        <f>VLOOKUP(E338,Лист4!A$2:G$395,7,FALSE)</f>
        <v>#N/A</v>
      </c>
      <c r="W338" s="247">
        <f>IF(ISNA(V338),VLOOKUP(E338,категория!A$42:C$74,3,),6.94+R338*8.333/VLOOKUP(V338,категория!A$42:C$74,2,))</f>
        <v>4.17</v>
      </c>
    </row>
    <row r="339" spans="1:23" ht="15.75">
      <c r="A339" s="277">
        <v>43846.059027777781</v>
      </c>
      <c r="B339" s="277">
        <v>43846.076388888891</v>
      </c>
      <c r="C339" s="277">
        <f t="shared" si="17"/>
        <v>1.7361111109494232E-2</v>
      </c>
      <c r="D339" s="278">
        <v>4.1666666666666664E-2</v>
      </c>
      <c r="E339" s="329" t="s">
        <v>28</v>
      </c>
      <c r="F339" s="330"/>
      <c r="G339" s="330"/>
      <c r="H339" s="330"/>
      <c r="I339" s="330"/>
      <c r="J339" s="330"/>
      <c r="K339" s="330"/>
      <c r="L339" s="330"/>
      <c r="M339" s="330"/>
      <c r="N339" s="330"/>
      <c r="O339" s="330"/>
      <c r="P339" s="330"/>
      <c r="Q339" s="330"/>
      <c r="R339" s="330"/>
      <c r="S339" s="330"/>
      <c r="T339" s="330"/>
      <c r="U339" s="331"/>
      <c r="V339" s="247" t="e">
        <f>VLOOKUP(E339,Лист4!A$2:G$395,7,FALSE)</f>
        <v>#N/A</v>
      </c>
      <c r="W339" s="247">
        <f>IF(ISNA(V339),VLOOKUP(E339,категория!A$42:C$74,3,),6.94+R339*8.333/VLOOKUP(V339,категория!A$42:C$74,2,))*0.45</f>
        <v>3.7499849999999997</v>
      </c>
    </row>
    <row r="340" spans="1:23" ht="15.75">
      <c r="A340" s="277">
        <v>43846.076388888891</v>
      </c>
      <c r="B340" s="277">
        <v>43846.097222222219</v>
      </c>
      <c r="C340" s="277">
        <f t="shared" si="17"/>
        <v>2.0833333328482695E-2</v>
      </c>
      <c r="D340" s="278">
        <v>4.1666666666666664E-2</v>
      </c>
      <c r="E340" s="329" t="s">
        <v>172</v>
      </c>
      <c r="F340" s="330"/>
      <c r="G340" s="330"/>
      <c r="H340" s="330"/>
      <c r="I340" s="330"/>
      <c r="J340" s="330"/>
      <c r="K340" s="330"/>
      <c r="L340" s="330"/>
      <c r="M340" s="330"/>
      <c r="N340" s="330"/>
      <c r="O340" s="330"/>
      <c r="P340" s="330"/>
      <c r="Q340" s="330"/>
      <c r="R340" s="330"/>
      <c r="S340" s="330"/>
      <c r="T340" s="330"/>
      <c r="U340" s="331"/>
      <c r="V340" s="247" t="e">
        <f>VLOOKUP(E340,Лист4!A$2:G$395,7,FALSE)</f>
        <v>#N/A</v>
      </c>
      <c r="W340" s="247">
        <f>IF(ISNA(V340),VLOOKUP(E340,категория!A$42:C$74,3,),6.94+R340*8.333/VLOOKUP(V340,категория!A$42:C$74,2,))</f>
        <v>16.670000000000002</v>
      </c>
    </row>
    <row r="341" spans="1:23" ht="15.75">
      <c r="A341" s="277">
        <v>43846.097222222219</v>
      </c>
      <c r="B341" s="277">
        <v>43846.111111111109</v>
      </c>
      <c r="C341" s="277">
        <f t="shared" si="17"/>
        <v>1.3888888890505768E-2</v>
      </c>
      <c r="D341" s="278">
        <v>4.1666666666666664E-2</v>
      </c>
      <c r="E341" s="329" t="s">
        <v>28</v>
      </c>
      <c r="F341" s="330"/>
      <c r="G341" s="330"/>
      <c r="H341" s="330"/>
      <c r="I341" s="330"/>
      <c r="J341" s="330"/>
      <c r="K341" s="330"/>
      <c r="L341" s="330"/>
      <c r="M341" s="330"/>
      <c r="N341" s="330"/>
      <c r="O341" s="330"/>
      <c r="P341" s="330"/>
      <c r="Q341" s="330"/>
      <c r="R341" s="330"/>
      <c r="S341" s="330"/>
      <c r="T341" s="330"/>
      <c r="U341" s="331"/>
      <c r="V341" s="247" t="e">
        <f>VLOOKUP(E341,Лист4!A$2:G$395,7,FALSE)</f>
        <v>#N/A</v>
      </c>
      <c r="W341" s="247">
        <f>IF(ISNA(V341),VLOOKUP(E341,категория!A$42:C$74,3,),6.94+R341*8.333/VLOOKUP(V341,категория!A$42:C$74,2,))*0.3333</f>
        <v>2.7774888899999999</v>
      </c>
    </row>
    <row r="342" spans="1:23" ht="15.75">
      <c r="A342" s="277">
        <v>43846.111111111109</v>
      </c>
      <c r="B342" s="277">
        <v>43846.131944444445</v>
      </c>
      <c r="C342" s="277">
        <f t="shared" si="17"/>
        <v>2.0833333335758653E-2</v>
      </c>
      <c r="D342" s="278">
        <v>2.0833333333333332E-2</v>
      </c>
      <c r="E342" s="329" t="s">
        <v>18</v>
      </c>
      <c r="F342" s="330"/>
      <c r="G342" s="330"/>
      <c r="H342" s="330"/>
      <c r="I342" s="330"/>
      <c r="J342" s="330"/>
      <c r="K342" s="330"/>
      <c r="L342" s="330"/>
      <c r="M342" s="330"/>
      <c r="N342" s="330"/>
      <c r="O342" s="330"/>
      <c r="P342" s="330"/>
      <c r="Q342" s="330"/>
      <c r="R342" s="330"/>
      <c r="S342" s="330"/>
      <c r="T342" s="330"/>
      <c r="U342" s="331"/>
      <c r="V342" s="247" t="e">
        <f>VLOOKUP(E342,Лист4!A$2:G$395,7,FALSE)</f>
        <v>#N/A</v>
      </c>
      <c r="W342" s="247">
        <f>IF(ISNA(V342),VLOOKUP(E342,категория!A$42:C$74,3,),6.94+R342*8.333/VLOOKUP(V342,категория!A$42:C$74,2,))</f>
        <v>13.9</v>
      </c>
    </row>
    <row r="343" spans="1:23" ht="15.75">
      <c r="A343" s="277">
        <v>43846.131944444445</v>
      </c>
      <c r="B343" s="277">
        <v>43846.138888888891</v>
      </c>
      <c r="C343" s="277">
        <f t="shared" si="17"/>
        <v>6.9444444452528842E-3</v>
      </c>
      <c r="D343" s="278">
        <v>2.0833333333333332E-2</v>
      </c>
      <c r="E343" s="329" t="s">
        <v>8</v>
      </c>
      <c r="F343" s="330"/>
      <c r="G343" s="330"/>
      <c r="H343" s="330"/>
      <c r="I343" s="330"/>
      <c r="J343" s="330"/>
      <c r="K343" s="330"/>
      <c r="L343" s="330"/>
      <c r="M343" s="330"/>
      <c r="N343" s="330"/>
      <c r="O343" s="330"/>
      <c r="P343" s="330"/>
      <c r="Q343" s="330"/>
      <c r="R343" s="330"/>
      <c r="S343" s="330"/>
      <c r="T343" s="330"/>
      <c r="U343" s="331"/>
      <c r="V343" s="247" t="e">
        <f>VLOOKUP(E343,Лист4!A$2:G$395,7,FALSE)</f>
        <v>#N/A</v>
      </c>
      <c r="W343" s="247">
        <f>IF(ISNA(V343),VLOOKUP(E343,категория!A$42:C$74,3,),6.94+R343*8.333/VLOOKUP(V343,категория!A$42:C$74,2,))</f>
        <v>4.17</v>
      </c>
    </row>
    <row r="344" spans="1:23" ht="15.75">
      <c r="A344" s="277">
        <v>43846.138888888891</v>
      </c>
      <c r="B344" s="277">
        <v>43846.159722222219</v>
      </c>
      <c r="C344" s="277">
        <f t="shared" si="17"/>
        <v>2.0833333328482695E-2</v>
      </c>
      <c r="D344" s="278">
        <v>2.0833333333333332E-2</v>
      </c>
      <c r="E344" s="329" t="s">
        <v>171</v>
      </c>
      <c r="F344" s="330"/>
      <c r="G344" s="330"/>
      <c r="H344" s="330"/>
      <c r="I344" s="330"/>
      <c r="J344" s="330"/>
      <c r="K344" s="330"/>
      <c r="L344" s="330"/>
      <c r="M344" s="330"/>
      <c r="N344" s="330"/>
      <c r="O344" s="330"/>
      <c r="P344" s="330"/>
      <c r="Q344" s="330"/>
      <c r="R344" s="330"/>
      <c r="S344" s="330"/>
      <c r="T344" s="330"/>
      <c r="U344" s="331"/>
      <c r="V344" s="247" t="e">
        <f>VLOOKUP(E344,Лист4!A$2:G$395,7,FALSE)</f>
        <v>#N/A</v>
      </c>
      <c r="W344" s="247">
        <f>IF(ISNA(V344),VLOOKUP(E344,категория!A$42:C$74,3,),6.94+R344*8.333/VLOOKUP(V344,категория!A$42:C$74,2,))</f>
        <v>5.55</v>
      </c>
    </row>
    <row r="345" spans="1:23" ht="15.75">
      <c r="A345" s="277">
        <v>43846.159722222219</v>
      </c>
      <c r="B345" s="277">
        <v>43846.173611111109</v>
      </c>
      <c r="C345" s="277">
        <f t="shared" si="17"/>
        <v>1.3888888890505768E-2</v>
      </c>
      <c r="D345" s="278">
        <v>2.7777777777777776E-2</v>
      </c>
      <c r="E345" s="329" t="s">
        <v>29</v>
      </c>
      <c r="F345" s="330"/>
      <c r="G345" s="330"/>
      <c r="H345" s="330"/>
      <c r="I345" s="330"/>
      <c r="J345" s="330"/>
      <c r="K345" s="330"/>
      <c r="L345" s="330"/>
      <c r="M345" s="330"/>
      <c r="N345" s="330"/>
      <c r="O345" s="330"/>
      <c r="P345" s="330"/>
      <c r="Q345" s="330"/>
      <c r="R345" s="330"/>
      <c r="S345" s="330"/>
      <c r="T345" s="330"/>
      <c r="U345" s="331"/>
      <c r="V345" s="247" t="e">
        <f>VLOOKUP(E345,Лист4!A$2:G$395,7,FALSE)</f>
        <v>#N/A</v>
      </c>
      <c r="W345" s="247">
        <f>IF(ISNA(V345),VLOOKUP(E345,категория!A$42:C$74,3,),6.94+R345*8.333/VLOOKUP(V345,категория!A$42:C$74,2,))</f>
        <v>5.55</v>
      </c>
    </row>
    <row r="346" spans="1:23" ht="15.75">
      <c r="A346" s="277">
        <v>43846.173611111109</v>
      </c>
      <c r="B346" s="277">
        <v>43846.201388888891</v>
      </c>
      <c r="C346" s="277">
        <f t="shared" si="17"/>
        <v>2.7777777781011537E-2</v>
      </c>
      <c r="D346" s="278">
        <v>2.7777777777777776E-2</v>
      </c>
      <c r="E346" s="329" t="s">
        <v>29</v>
      </c>
      <c r="F346" s="330"/>
      <c r="G346" s="330"/>
      <c r="H346" s="330"/>
      <c r="I346" s="330"/>
      <c r="J346" s="330"/>
      <c r="K346" s="330"/>
      <c r="L346" s="330"/>
      <c r="M346" s="330"/>
      <c r="N346" s="330"/>
      <c r="O346" s="330"/>
      <c r="P346" s="330"/>
      <c r="Q346" s="330"/>
      <c r="R346" s="330"/>
      <c r="S346" s="330"/>
      <c r="T346" s="330"/>
      <c r="U346" s="331"/>
      <c r="V346" s="247" t="e">
        <f>VLOOKUP(E346,Лист4!A$2:G$395,7,FALSE)</f>
        <v>#N/A</v>
      </c>
      <c r="W346" s="247">
        <v>0</v>
      </c>
    </row>
    <row r="347" spans="1:23" ht="15.75">
      <c r="A347" s="277">
        <v>43846.201388888891</v>
      </c>
      <c r="B347" s="277">
        <v>43846.21875</v>
      </c>
      <c r="C347" s="277">
        <f t="shared" si="17"/>
        <v>1.7361111109494232E-2</v>
      </c>
      <c r="D347" s="278">
        <v>3.472222222222222E-3</v>
      </c>
      <c r="E347" s="329" t="s">
        <v>327</v>
      </c>
      <c r="F347" s="330"/>
      <c r="G347" s="330"/>
      <c r="H347" s="330"/>
      <c r="I347" s="330"/>
      <c r="J347" s="330"/>
      <c r="K347" s="330"/>
      <c r="L347" s="330"/>
      <c r="M347" s="330"/>
      <c r="N347" s="330"/>
      <c r="O347" s="330"/>
      <c r="P347" s="330"/>
      <c r="Q347" s="330"/>
      <c r="R347" s="330"/>
      <c r="S347" s="330"/>
      <c r="T347" s="330"/>
      <c r="U347" s="331"/>
      <c r="V347" s="247" t="e">
        <f>VLOOKUP(E347,Лист4!A$2:G$395,7,FALSE)</f>
        <v>#N/A</v>
      </c>
      <c r="W347" s="247">
        <f>0.45*8.333</f>
        <v>3.7498500000000003</v>
      </c>
    </row>
    <row r="348" spans="1:23" ht="48">
      <c r="A348" s="277">
        <v>43846.21875</v>
      </c>
      <c r="B348" s="277">
        <v>43846.253472222219</v>
      </c>
      <c r="C348" s="277">
        <f t="shared" si="17"/>
        <v>3.4722222218988463E-2</v>
      </c>
      <c r="D348" s="278">
        <v>3.4722222222222224E-2</v>
      </c>
      <c r="E348" s="279">
        <v>107</v>
      </c>
      <c r="F348" s="280" t="s">
        <v>480</v>
      </c>
      <c r="G348" s="280" t="s">
        <v>481</v>
      </c>
      <c r="H348" s="281" t="s">
        <v>226</v>
      </c>
      <c r="I348" s="282">
        <v>43859</v>
      </c>
      <c r="J348" s="283"/>
      <c r="K348" s="279" t="s">
        <v>227</v>
      </c>
      <c r="L348" s="284"/>
      <c r="M348" s="285" t="s">
        <v>276</v>
      </c>
      <c r="N348" s="280" t="s">
        <v>40</v>
      </c>
      <c r="O348" s="279">
        <v>235</v>
      </c>
      <c r="P348" s="279" t="s">
        <v>228</v>
      </c>
      <c r="Q348" s="286" t="s">
        <v>229</v>
      </c>
      <c r="R348" s="287">
        <v>1570</v>
      </c>
      <c r="S348" s="287">
        <v>1667</v>
      </c>
      <c r="T348" s="283" t="s">
        <v>232</v>
      </c>
      <c r="U348" s="287" t="s">
        <v>77</v>
      </c>
      <c r="V348" s="247" t="s">
        <v>286</v>
      </c>
      <c r="W348" s="247">
        <f>IF(ISNA(V348),VLOOKUP(E348,категория!A$42:C$74,3,),6.94+R348*8.333/VLOOKUP(V348,категория!A$42:C$74,2,))</f>
        <v>10.904487878787879</v>
      </c>
    </row>
    <row r="349" spans="1:23" ht="15.75">
      <c r="A349" s="277">
        <v>43846.253472222219</v>
      </c>
      <c r="B349" s="277">
        <v>43846.260416666664</v>
      </c>
      <c r="C349" s="277">
        <f t="shared" si="17"/>
        <v>6.9444444452528842E-3</v>
      </c>
      <c r="D349" s="278">
        <v>6.9444444444444441E-3</v>
      </c>
      <c r="E349" s="329" t="s">
        <v>170</v>
      </c>
      <c r="F349" s="330"/>
      <c r="G349" s="330"/>
      <c r="H349" s="330"/>
      <c r="I349" s="330"/>
      <c r="J349" s="330"/>
      <c r="K349" s="330"/>
      <c r="L349" s="330"/>
      <c r="M349" s="330"/>
      <c r="N349" s="330"/>
      <c r="O349" s="330"/>
      <c r="P349" s="330"/>
      <c r="Q349" s="330"/>
      <c r="R349" s="330"/>
      <c r="S349" s="330"/>
      <c r="T349" s="330"/>
      <c r="U349" s="331"/>
      <c r="V349" s="247" t="e">
        <f>VLOOKUP(E349,Лист4!A$2:G$395,7,FALSE)</f>
        <v>#N/A</v>
      </c>
      <c r="W349" s="247">
        <f>IF(ISNA(V349),VLOOKUP(E349,категория!A$42:C$74,3,),6.94+R349*8.333/VLOOKUP(V349,категория!A$42:C$74,2,))</f>
        <v>2.085</v>
      </c>
    </row>
    <row r="350" spans="1:23" ht="15.75">
      <c r="A350" s="277">
        <v>43846.260416666664</v>
      </c>
      <c r="B350" s="277">
        <v>43846.298611111109</v>
      </c>
      <c r="C350" s="277">
        <f t="shared" si="17"/>
        <v>3.8194444445252884E-2</v>
      </c>
      <c r="D350" s="278">
        <v>4.1666666666666664E-2</v>
      </c>
      <c r="E350" s="329" t="s">
        <v>172</v>
      </c>
      <c r="F350" s="330"/>
      <c r="G350" s="330"/>
      <c r="H350" s="330"/>
      <c r="I350" s="330"/>
      <c r="J350" s="330"/>
      <c r="K350" s="330"/>
      <c r="L350" s="330"/>
      <c r="M350" s="330"/>
      <c r="N350" s="330"/>
      <c r="O350" s="330"/>
      <c r="P350" s="330"/>
      <c r="Q350" s="330"/>
      <c r="R350" s="330"/>
      <c r="S350" s="330"/>
      <c r="T350" s="330"/>
      <c r="U350" s="331"/>
      <c r="V350" s="247" t="e">
        <f>VLOOKUP(E350,Лист4!A$2:G$395,7,FALSE)</f>
        <v>#N/A</v>
      </c>
      <c r="W350" s="247">
        <v>0</v>
      </c>
    </row>
    <row r="351" spans="1:23" ht="15.75">
      <c r="A351" s="277">
        <v>43846.298611111109</v>
      </c>
      <c r="B351" s="277">
        <v>43846.333333333336</v>
      </c>
      <c r="C351" s="277">
        <f t="shared" si="17"/>
        <v>3.4722222226264421E-2</v>
      </c>
      <c r="D351" s="278">
        <v>4.1666666666666664E-2</v>
      </c>
      <c r="E351" s="329" t="s">
        <v>28</v>
      </c>
      <c r="F351" s="330"/>
      <c r="G351" s="330"/>
      <c r="H351" s="330"/>
      <c r="I351" s="330"/>
      <c r="J351" s="330"/>
      <c r="K351" s="330"/>
      <c r="L351" s="330"/>
      <c r="M351" s="330"/>
      <c r="N351" s="330"/>
      <c r="O351" s="330"/>
      <c r="P351" s="330"/>
      <c r="Q351" s="330"/>
      <c r="R351" s="330"/>
      <c r="S351" s="330"/>
      <c r="T351" s="330"/>
      <c r="U351" s="331"/>
      <c r="V351" s="247" t="e">
        <f>VLOOKUP(E351,Лист4!A$2:G$395,7,FALSE)</f>
        <v>#N/A</v>
      </c>
      <c r="W351" s="247">
        <v>0</v>
      </c>
    </row>
    <row r="352" spans="1:23" ht="15.75">
      <c r="A352" s="288">
        <v>43846.333333333336</v>
      </c>
      <c r="B352" s="332" t="s">
        <v>482</v>
      </c>
      <c r="C352" s="333"/>
      <c r="D352" s="334"/>
      <c r="E352" s="334"/>
      <c r="F352" s="334"/>
      <c r="G352" s="334"/>
      <c r="H352" s="334"/>
      <c r="I352" s="334"/>
      <c r="J352" s="334"/>
      <c r="K352" s="334"/>
      <c r="L352" s="334"/>
      <c r="M352" s="334"/>
      <c r="N352" s="334"/>
      <c r="O352" s="334"/>
      <c r="P352" s="334"/>
      <c r="Q352" s="334"/>
      <c r="R352" s="334"/>
      <c r="S352" s="334"/>
      <c r="T352" s="334"/>
      <c r="U352" s="335"/>
      <c r="V352" s="247" t="e">
        <f>VLOOKUP(E352,Лист4!A$2:G$395,7,FALSE)</f>
        <v>#N/A</v>
      </c>
      <c r="W352" s="52">
        <f>SUM(W326:W351)</f>
        <v>142.78769055666669</v>
      </c>
    </row>
    <row r="353" spans="1:23" ht="15.75">
      <c r="A353" s="277">
        <v>43846.333333333336</v>
      </c>
      <c r="B353" s="277">
        <v>43846.354166666664</v>
      </c>
      <c r="C353" s="277">
        <f>B353-A353</f>
        <v>2.0833333328482695E-2</v>
      </c>
      <c r="D353" s="278">
        <v>2.0833333333333332E-2</v>
      </c>
      <c r="E353" s="329" t="s">
        <v>22</v>
      </c>
      <c r="F353" s="330"/>
      <c r="G353" s="330"/>
      <c r="H353" s="330"/>
      <c r="I353" s="330"/>
      <c r="J353" s="330"/>
      <c r="K353" s="330"/>
      <c r="L353" s="330"/>
      <c r="M353" s="330"/>
      <c r="N353" s="330"/>
      <c r="O353" s="330"/>
      <c r="P353" s="330"/>
      <c r="Q353" s="330"/>
      <c r="R353" s="330"/>
      <c r="S353" s="330"/>
      <c r="T353" s="330"/>
      <c r="U353" s="331"/>
      <c r="V353" s="247" t="e">
        <f>VLOOKUP(E353,Лист4!A$2:G$395,7,FALSE)</f>
        <v>#N/A</v>
      </c>
      <c r="W353" s="247">
        <f>IF(ISNA(V353),VLOOKUP(E353,категория!A$42:C$74,3,),6.94+R353*8.333/VLOOKUP(V353,категория!A$42:C$74,2,))</f>
        <v>4.17</v>
      </c>
    </row>
    <row r="354" spans="1:23" ht="15.75">
      <c r="A354" s="277">
        <v>43846.354166666664</v>
      </c>
      <c r="B354" s="277">
        <v>43846.375</v>
      </c>
      <c r="C354" s="277">
        <f t="shared" ref="C354:C376" si="18">B354-A354</f>
        <v>2.0833333335758653E-2</v>
      </c>
      <c r="D354" s="278">
        <v>2.0833333333333332E-2</v>
      </c>
      <c r="E354" s="329" t="s">
        <v>28</v>
      </c>
      <c r="F354" s="330"/>
      <c r="G354" s="330"/>
      <c r="H354" s="330"/>
      <c r="I354" s="330"/>
      <c r="J354" s="330"/>
      <c r="K354" s="330"/>
      <c r="L354" s="330"/>
      <c r="M354" s="330"/>
      <c r="N354" s="330"/>
      <c r="O354" s="330"/>
      <c r="P354" s="330"/>
      <c r="Q354" s="330"/>
      <c r="R354" s="330"/>
      <c r="S354" s="330"/>
      <c r="T354" s="330"/>
      <c r="U354" s="331"/>
      <c r="V354" s="247" t="e">
        <f>VLOOKUP(E354,Лист4!A$2:G$395,7,FALSE)</f>
        <v>#N/A</v>
      </c>
      <c r="W354" s="247">
        <f>IF(ISNA(V354),VLOOKUP(E354,категория!A$42:C$74,3,),6.94+R354*8.333/VLOOKUP(V354,категория!A$42:C$74,2,))*0.5</f>
        <v>4.1666499999999997</v>
      </c>
    </row>
    <row r="355" spans="1:23" ht="36">
      <c r="A355" s="277">
        <v>43846.375</v>
      </c>
      <c r="B355" s="277">
        <v>43846.402777777781</v>
      </c>
      <c r="C355" s="277">
        <f t="shared" si="18"/>
        <v>2.7777777781011537E-2</v>
      </c>
      <c r="D355" s="278">
        <v>2.7777777777777776E-2</v>
      </c>
      <c r="E355" s="279">
        <v>77</v>
      </c>
      <c r="F355" s="280" t="s">
        <v>243</v>
      </c>
      <c r="G355" s="280" t="s">
        <v>483</v>
      </c>
      <c r="H355" s="281" t="s">
        <v>226</v>
      </c>
      <c r="I355" s="282">
        <v>43854</v>
      </c>
      <c r="J355" s="283"/>
      <c r="K355" s="279" t="s">
        <v>227</v>
      </c>
      <c r="L355" s="284"/>
      <c r="M355" s="285"/>
      <c r="N355" s="280" t="s">
        <v>39</v>
      </c>
      <c r="O355" s="279">
        <v>210</v>
      </c>
      <c r="P355" s="279" t="s">
        <v>236</v>
      </c>
      <c r="Q355" s="286" t="s">
        <v>229</v>
      </c>
      <c r="R355" s="287">
        <v>670</v>
      </c>
      <c r="S355" s="287">
        <v>788</v>
      </c>
      <c r="T355" s="283"/>
      <c r="U355" s="287" t="s">
        <v>230</v>
      </c>
      <c r="V355" s="247" t="str">
        <f>VLOOKUP(E355,Лист4!A$2:G$395,7,FALSE)</f>
        <v>мел+офсет</v>
      </c>
      <c r="W355" s="247">
        <f>IF(ISNA(V355),VLOOKUP(E355,категория!A$42:C$74,3,),6.94+R355*8.333/VLOOKUP(V355,категория!A$42:C$74,2,))</f>
        <v>8.0566220000000008</v>
      </c>
    </row>
    <row r="356" spans="1:23" ht="15.75">
      <c r="A356" s="277">
        <v>43846.402777777781</v>
      </c>
      <c r="B356" s="277">
        <v>43846.409722222219</v>
      </c>
      <c r="C356" s="277">
        <f t="shared" si="18"/>
        <v>6.9444444379769266E-3</v>
      </c>
      <c r="D356" s="278">
        <v>2.0833333333333332E-2</v>
      </c>
      <c r="E356" s="329" t="s">
        <v>2</v>
      </c>
      <c r="F356" s="330"/>
      <c r="G356" s="330"/>
      <c r="H356" s="330"/>
      <c r="I356" s="330"/>
      <c r="J356" s="330"/>
      <c r="K356" s="330"/>
      <c r="L356" s="330"/>
      <c r="M356" s="330"/>
      <c r="N356" s="330"/>
      <c r="O356" s="330"/>
      <c r="P356" s="330"/>
      <c r="Q356" s="330"/>
      <c r="R356" s="330"/>
      <c r="S356" s="330"/>
      <c r="T356" s="330"/>
      <c r="U356" s="331"/>
      <c r="V356" s="247" t="e">
        <f>VLOOKUP(E356,Лист4!A$2:G$395,7,FALSE)</f>
        <v>#N/A</v>
      </c>
      <c r="W356" s="247">
        <f>IF(ISNA(V356),VLOOKUP(E356,категория!A$42:C$74,3,),6.94+R356*8.333/VLOOKUP(V356,категория!A$42:C$74,2,))</f>
        <v>4.17</v>
      </c>
    </row>
    <row r="357" spans="1:23" ht="15.75">
      <c r="A357" s="277">
        <v>43846.409722222219</v>
      </c>
      <c r="B357" s="277">
        <v>43846.416666666664</v>
      </c>
      <c r="C357" s="277">
        <f t="shared" si="18"/>
        <v>6.9444444452528842E-3</v>
      </c>
      <c r="D357" s="278">
        <v>3.472222222222222E-3</v>
      </c>
      <c r="E357" s="329" t="s">
        <v>26</v>
      </c>
      <c r="F357" s="330"/>
      <c r="G357" s="330"/>
      <c r="H357" s="330"/>
      <c r="I357" s="330"/>
      <c r="J357" s="330"/>
      <c r="K357" s="330"/>
      <c r="L357" s="330"/>
      <c r="M357" s="330"/>
      <c r="N357" s="330"/>
      <c r="O357" s="330"/>
      <c r="P357" s="330"/>
      <c r="Q357" s="330"/>
      <c r="R357" s="330"/>
      <c r="S357" s="330"/>
      <c r="T357" s="330"/>
      <c r="U357" s="331"/>
      <c r="V357" s="247" t="e">
        <f>VLOOKUP(E357,Лист4!A$2:G$395,7,FALSE)</f>
        <v>#N/A</v>
      </c>
      <c r="W357" s="247">
        <f>IF(ISNA(V357),VLOOKUP(E357,категория!A$42:C$74,3,),6.94+R357*8.333/VLOOKUP(V357,категория!A$42:C$74,2,))</f>
        <v>6.94</v>
      </c>
    </row>
    <row r="358" spans="1:23" ht="15.75">
      <c r="A358" s="277">
        <v>43846.416666666664</v>
      </c>
      <c r="B358" s="277">
        <v>43846.458333333336</v>
      </c>
      <c r="C358" s="277">
        <f t="shared" si="18"/>
        <v>4.1666666671517305E-2</v>
      </c>
      <c r="D358" s="278">
        <v>3.472222222222222E-3</v>
      </c>
      <c r="E358" s="329" t="s">
        <v>24</v>
      </c>
      <c r="F358" s="330"/>
      <c r="G358" s="330"/>
      <c r="H358" s="330"/>
      <c r="I358" s="330"/>
      <c r="J358" s="330"/>
      <c r="K358" s="330"/>
      <c r="L358" s="330"/>
      <c r="M358" s="330"/>
      <c r="N358" s="330"/>
      <c r="O358" s="330"/>
      <c r="P358" s="330"/>
      <c r="Q358" s="330"/>
      <c r="R358" s="330"/>
      <c r="S358" s="330"/>
      <c r="T358" s="330"/>
      <c r="U358" s="331"/>
      <c r="V358" s="247" t="e">
        <f>VLOOKUP(E358,Лист4!A$2:G$395,7,FALSE)</f>
        <v>#N/A</v>
      </c>
      <c r="W358" s="247">
        <f>IF(ISNA(V358),VLOOKUP(E358,категория!A$42:C$74,3,),6.94+R358*8.333/VLOOKUP(V358,категория!A$42:C$74,2,))</f>
        <v>3.47</v>
      </c>
    </row>
    <row r="359" spans="1:23" ht="48">
      <c r="A359" s="277">
        <v>43846.458333333336</v>
      </c>
      <c r="B359" s="277">
        <v>43846.479166666664</v>
      </c>
      <c r="C359" s="277">
        <f t="shared" si="18"/>
        <v>2.0833333328482695E-2</v>
      </c>
      <c r="D359" s="278">
        <v>2.0833333333333332E-2</v>
      </c>
      <c r="E359" s="279">
        <v>72</v>
      </c>
      <c r="F359" s="280" t="s">
        <v>274</v>
      </c>
      <c r="G359" s="280" t="s">
        <v>484</v>
      </c>
      <c r="H359" s="281" t="s">
        <v>226</v>
      </c>
      <c r="I359" s="282">
        <v>43847</v>
      </c>
      <c r="J359" s="283"/>
      <c r="K359" s="279" t="s">
        <v>227</v>
      </c>
      <c r="L359" s="284"/>
      <c r="M359" s="285"/>
      <c r="N359" s="280" t="s">
        <v>41</v>
      </c>
      <c r="O359" s="279">
        <v>150</v>
      </c>
      <c r="P359" s="279" t="s">
        <v>236</v>
      </c>
      <c r="Q359" s="286" t="s">
        <v>241</v>
      </c>
      <c r="R359" s="287">
        <v>670</v>
      </c>
      <c r="S359" s="287">
        <v>916</v>
      </c>
      <c r="T359" s="283" t="s">
        <v>232</v>
      </c>
      <c r="U359" s="287" t="s">
        <v>230</v>
      </c>
      <c r="V359" s="247" t="str">
        <f>VLOOKUP(E359,Лист4!A$2:G$395,7,FALSE)</f>
        <v>мел+офсет</v>
      </c>
      <c r="W359" s="247">
        <f>IF(ISNA(V359),VLOOKUP(E359,категория!A$42:C$74,3,),6.94+R359*8.333/VLOOKUP(V359,категория!A$42:C$74,2,))</f>
        <v>8.0566220000000008</v>
      </c>
    </row>
    <row r="360" spans="1:23" ht="15.75">
      <c r="A360" s="277">
        <v>43846.479166666664</v>
      </c>
      <c r="B360" s="277">
        <v>43846.486111111109</v>
      </c>
      <c r="C360" s="277">
        <f t="shared" si="18"/>
        <v>6.9444444452528842E-3</v>
      </c>
      <c r="D360" s="278">
        <v>2.0833333333333332E-2</v>
      </c>
      <c r="E360" s="329" t="s">
        <v>2</v>
      </c>
      <c r="F360" s="330"/>
      <c r="G360" s="330"/>
      <c r="H360" s="330"/>
      <c r="I360" s="330"/>
      <c r="J360" s="330"/>
      <c r="K360" s="330"/>
      <c r="L360" s="330"/>
      <c r="M360" s="330"/>
      <c r="N360" s="330"/>
      <c r="O360" s="330"/>
      <c r="P360" s="330"/>
      <c r="Q360" s="330"/>
      <c r="R360" s="330"/>
      <c r="S360" s="330"/>
      <c r="T360" s="330"/>
      <c r="U360" s="331"/>
      <c r="V360" s="247" t="e">
        <f>VLOOKUP(E360,Лист4!A$2:G$395,7,FALSE)</f>
        <v>#N/A</v>
      </c>
      <c r="W360" s="247">
        <f>IF(ISNA(V360),VLOOKUP(E360,категория!A$42:C$74,3,),6.94+R360*8.333/VLOOKUP(V360,категория!A$42:C$74,2,))</f>
        <v>4.17</v>
      </c>
    </row>
    <row r="361" spans="1:23" ht="15.75">
      <c r="A361" s="277">
        <v>43846.486111111109</v>
      </c>
      <c r="B361" s="277">
        <v>43846.506944444445</v>
      </c>
      <c r="C361" s="277">
        <f t="shared" si="18"/>
        <v>2.0833333335758653E-2</v>
      </c>
      <c r="D361" s="278">
        <v>2.0833333333333332E-2</v>
      </c>
      <c r="E361" s="329" t="s">
        <v>23</v>
      </c>
      <c r="F361" s="330"/>
      <c r="G361" s="330"/>
      <c r="H361" s="330"/>
      <c r="I361" s="330"/>
      <c r="J361" s="330"/>
      <c r="K361" s="330"/>
      <c r="L361" s="330"/>
      <c r="M361" s="330"/>
      <c r="N361" s="330"/>
      <c r="O361" s="330"/>
      <c r="P361" s="330"/>
      <c r="Q361" s="330"/>
      <c r="R361" s="330"/>
      <c r="S361" s="330"/>
      <c r="T361" s="330"/>
      <c r="U361" s="331"/>
      <c r="V361" s="247" t="e">
        <f>VLOOKUP(E361,Лист4!A$2:G$395,7,FALSE)</f>
        <v>#N/A</v>
      </c>
      <c r="W361" s="247">
        <f>IF(ISNA(V361),VLOOKUP(E361,категория!A$42:C$74,3,),6.94+R361*8.333/VLOOKUP(V361,категория!A$42:C$74,2,))</f>
        <v>2.78</v>
      </c>
    </row>
    <row r="362" spans="1:23" ht="15.75">
      <c r="A362" s="277">
        <v>43846.506944444445</v>
      </c>
      <c r="B362" s="277">
        <v>43846.541666666664</v>
      </c>
      <c r="C362" s="277">
        <f t="shared" si="18"/>
        <v>3.4722222218988463E-2</v>
      </c>
      <c r="D362" s="278">
        <v>4.1666666666666664E-2</v>
      </c>
      <c r="E362" s="329" t="s">
        <v>28</v>
      </c>
      <c r="F362" s="330"/>
      <c r="G362" s="330"/>
      <c r="H362" s="330"/>
      <c r="I362" s="330"/>
      <c r="J362" s="330"/>
      <c r="K362" s="330"/>
      <c r="L362" s="330"/>
      <c r="M362" s="330"/>
      <c r="N362" s="330"/>
      <c r="O362" s="330"/>
      <c r="P362" s="330"/>
      <c r="Q362" s="330"/>
      <c r="R362" s="330"/>
      <c r="S362" s="330"/>
      <c r="T362" s="330"/>
      <c r="U362" s="331"/>
      <c r="V362" s="247" t="e">
        <f>VLOOKUP(E362,Лист4!A$2:G$395,7,FALSE)</f>
        <v>#N/A</v>
      </c>
      <c r="W362" s="247">
        <f>IF(ISNA(V362),VLOOKUP(E362,категория!A$42:C$74,3,),6.94+R362*8.333/VLOOKUP(V362,категория!A$42:C$74,2,))</f>
        <v>8.3332999999999995</v>
      </c>
    </row>
    <row r="363" spans="1:23" ht="48">
      <c r="A363" s="277">
        <v>43846.541666666664</v>
      </c>
      <c r="B363" s="277">
        <v>43846.569444444445</v>
      </c>
      <c r="C363" s="277">
        <f t="shared" si="18"/>
        <v>2.7777777781011537E-2</v>
      </c>
      <c r="D363" s="278">
        <v>2.7777777777777776E-2</v>
      </c>
      <c r="E363" s="279">
        <v>96</v>
      </c>
      <c r="F363" s="280" t="s">
        <v>312</v>
      </c>
      <c r="G363" s="280" t="s">
        <v>485</v>
      </c>
      <c r="H363" s="281" t="s">
        <v>251</v>
      </c>
      <c r="I363" s="282">
        <v>43852</v>
      </c>
      <c r="J363" s="283"/>
      <c r="K363" s="279" t="s">
        <v>240</v>
      </c>
      <c r="L363" s="284"/>
      <c r="M363" s="285"/>
      <c r="N363" s="280" t="s">
        <v>41</v>
      </c>
      <c r="O363" s="279">
        <v>350</v>
      </c>
      <c r="P363" s="279" t="s">
        <v>236</v>
      </c>
      <c r="Q363" s="286" t="s">
        <v>229</v>
      </c>
      <c r="R363" s="287">
        <v>317</v>
      </c>
      <c r="S363" s="287">
        <v>627</v>
      </c>
      <c r="T363" s="283" t="s">
        <v>232</v>
      </c>
      <c r="U363" s="287" t="s">
        <v>230</v>
      </c>
      <c r="V363" s="247" t="s">
        <v>57</v>
      </c>
      <c r="W363" s="247">
        <f>IF(ISNA(V363),VLOOKUP(E363,категория!A$42:C$74,3,),6.94+R363*8.333/VLOOKUP(V363,категория!A$42:C$74,2,))</f>
        <v>7.8508831034482762</v>
      </c>
    </row>
    <row r="364" spans="1:23" ht="15.75">
      <c r="A364" s="277">
        <v>43846.569444444445</v>
      </c>
      <c r="B364" s="277">
        <v>43846.576388888891</v>
      </c>
      <c r="C364" s="277">
        <f t="shared" si="18"/>
        <v>6.9444444452528842E-3</v>
      </c>
      <c r="D364" s="278">
        <v>2.0833333333333332E-2</v>
      </c>
      <c r="E364" s="329" t="s">
        <v>2</v>
      </c>
      <c r="F364" s="330"/>
      <c r="G364" s="330"/>
      <c r="H364" s="330"/>
      <c r="I364" s="330"/>
      <c r="J364" s="330"/>
      <c r="K364" s="330"/>
      <c r="L364" s="330"/>
      <c r="M364" s="330"/>
      <c r="N364" s="330"/>
      <c r="O364" s="330"/>
      <c r="P364" s="330"/>
      <c r="Q364" s="330"/>
      <c r="R364" s="330"/>
      <c r="S364" s="330"/>
      <c r="T364" s="330"/>
      <c r="U364" s="331"/>
      <c r="V364" s="247" t="e">
        <f>VLOOKUP(E364,Лист4!A$2:G$395,7,FALSE)</f>
        <v>#N/A</v>
      </c>
      <c r="W364" s="247">
        <f>IF(ISNA(V364),VLOOKUP(E364,категория!A$42:C$74,3,),6.94+R364*8.333/VLOOKUP(V364,категория!A$42:C$74,2,))</f>
        <v>4.17</v>
      </c>
    </row>
    <row r="365" spans="1:23" ht="15.75">
      <c r="A365" s="277">
        <v>43846.576388888891</v>
      </c>
      <c r="B365" s="277">
        <v>43846.618055555555</v>
      </c>
      <c r="C365" s="277">
        <f t="shared" si="18"/>
        <v>4.1666666664241347E-2</v>
      </c>
      <c r="D365" s="278">
        <v>3.472222222222222E-3</v>
      </c>
      <c r="E365" s="329" t="s">
        <v>237</v>
      </c>
      <c r="F365" s="330"/>
      <c r="G365" s="330"/>
      <c r="H365" s="330"/>
      <c r="I365" s="330"/>
      <c r="J365" s="330"/>
      <c r="K365" s="330"/>
      <c r="L365" s="330"/>
      <c r="M365" s="330"/>
      <c r="N365" s="330"/>
      <c r="O365" s="330"/>
      <c r="P365" s="330"/>
      <c r="Q365" s="330"/>
      <c r="R365" s="330"/>
      <c r="S365" s="330"/>
      <c r="T365" s="330"/>
      <c r="U365" s="331"/>
      <c r="V365" s="247" t="e">
        <f>VLOOKUP(E365,Лист4!A$2:G$395,7,FALSE)</f>
        <v>#N/A</v>
      </c>
      <c r="W365" s="247">
        <f>IF(ISNA(V365),VLOOKUP(E365,категория!A$42:C$74,3,),6.94+R365*8.333/VLOOKUP(V365,категория!A$42:C$74,2,))</f>
        <v>5.5553333333333335</v>
      </c>
    </row>
    <row r="366" spans="1:23" ht="48">
      <c r="A366" s="277">
        <v>43846.618055555555</v>
      </c>
      <c r="B366" s="277">
        <v>43846.645833333336</v>
      </c>
      <c r="C366" s="277">
        <f t="shared" si="18"/>
        <v>2.7777777781011537E-2</v>
      </c>
      <c r="D366" s="278">
        <v>2.7777777777777776E-2</v>
      </c>
      <c r="E366" s="279">
        <v>96</v>
      </c>
      <c r="F366" s="280" t="s">
        <v>312</v>
      </c>
      <c r="G366" s="280" t="s">
        <v>485</v>
      </c>
      <c r="H366" s="281" t="s">
        <v>252</v>
      </c>
      <c r="I366" s="282">
        <v>43852</v>
      </c>
      <c r="J366" s="283"/>
      <c r="K366" s="279" t="s">
        <v>227</v>
      </c>
      <c r="L366" s="284"/>
      <c r="M366" s="285"/>
      <c r="N366" s="280" t="s">
        <v>41</v>
      </c>
      <c r="O366" s="279">
        <v>350</v>
      </c>
      <c r="P366" s="279" t="s">
        <v>236</v>
      </c>
      <c r="Q366" s="286" t="s">
        <v>229</v>
      </c>
      <c r="R366" s="287">
        <v>480</v>
      </c>
      <c r="S366" s="287">
        <v>627</v>
      </c>
      <c r="T366" s="283" t="s">
        <v>232</v>
      </c>
      <c r="U366" s="287" t="s">
        <v>230</v>
      </c>
      <c r="V366" s="247" t="s">
        <v>57</v>
      </c>
      <c r="W366" s="247">
        <f>IF(ISNA(V366),VLOOKUP(E366,категория!A$42:C$74,3,),6.94+R366*8.333/VLOOKUP(V366,категория!A$42:C$74,2,))</f>
        <v>8.3192551724137935</v>
      </c>
    </row>
    <row r="367" spans="1:23" ht="15.75">
      <c r="A367" s="277">
        <v>43846.645833333336</v>
      </c>
      <c r="B367" s="277">
        <v>43846.659722222219</v>
      </c>
      <c r="C367" s="277">
        <f t="shared" si="18"/>
        <v>1.3888888883229811E-2</v>
      </c>
      <c r="D367" s="278">
        <v>2.0833333333333332E-2</v>
      </c>
      <c r="E367" s="329" t="s">
        <v>2</v>
      </c>
      <c r="F367" s="330"/>
      <c r="G367" s="330"/>
      <c r="H367" s="330"/>
      <c r="I367" s="330"/>
      <c r="J367" s="330"/>
      <c r="K367" s="330"/>
      <c r="L367" s="330"/>
      <c r="M367" s="330"/>
      <c r="N367" s="330"/>
      <c r="O367" s="330"/>
      <c r="P367" s="330"/>
      <c r="Q367" s="330"/>
      <c r="R367" s="330"/>
      <c r="S367" s="330"/>
      <c r="T367" s="330"/>
      <c r="U367" s="331"/>
      <c r="V367" s="247" t="e">
        <f>VLOOKUP(E367,Лист4!A$2:G$395,7,FALSE)</f>
        <v>#N/A</v>
      </c>
      <c r="W367" s="247">
        <f>IF(ISNA(V367),VLOOKUP(E367,категория!A$42:C$74,3,),6.94+R367*8.333/VLOOKUP(V367,категория!A$42:C$74,2,))</f>
        <v>4.17</v>
      </c>
    </row>
    <row r="368" spans="1:23" ht="15.75">
      <c r="A368" s="277">
        <v>43846.659722222219</v>
      </c>
      <c r="B368" s="277">
        <v>43846.666666666664</v>
      </c>
      <c r="C368" s="277">
        <f t="shared" si="18"/>
        <v>6.9444444452528842E-3</v>
      </c>
      <c r="D368" s="278">
        <v>1.0416666666666666E-2</v>
      </c>
      <c r="E368" s="329" t="s">
        <v>170</v>
      </c>
      <c r="F368" s="330"/>
      <c r="G368" s="330"/>
      <c r="H368" s="330"/>
      <c r="I368" s="330"/>
      <c r="J368" s="330"/>
      <c r="K368" s="330"/>
      <c r="L368" s="330"/>
      <c r="M368" s="330"/>
      <c r="N368" s="330"/>
      <c r="O368" s="330"/>
      <c r="P368" s="330"/>
      <c r="Q368" s="330"/>
      <c r="R368" s="330"/>
      <c r="S368" s="330"/>
      <c r="T368" s="330"/>
      <c r="U368" s="331"/>
      <c r="V368" s="247" t="e">
        <f>VLOOKUP(E368,Лист4!A$2:G$395,7,FALSE)</f>
        <v>#N/A</v>
      </c>
      <c r="W368" s="247">
        <f>IF(ISNA(V368),VLOOKUP(E368,категория!A$42:C$74,3,),6.94+R368*8.333/VLOOKUP(V368,категория!A$42:C$74,2,))</f>
        <v>2.085</v>
      </c>
    </row>
    <row r="369" spans="1:23" ht="15.75">
      <c r="A369" s="277">
        <v>43846.666666666664</v>
      </c>
      <c r="B369" s="277">
        <v>43846.701388888891</v>
      </c>
      <c r="C369" s="277">
        <f t="shared" si="18"/>
        <v>3.4722222226264421E-2</v>
      </c>
      <c r="D369" s="278">
        <v>3.472222222222222E-3</v>
      </c>
      <c r="E369" s="329" t="s">
        <v>24</v>
      </c>
      <c r="F369" s="330"/>
      <c r="G369" s="330"/>
      <c r="H369" s="330"/>
      <c r="I369" s="330"/>
      <c r="J369" s="330"/>
      <c r="K369" s="330"/>
      <c r="L369" s="330"/>
      <c r="M369" s="330"/>
      <c r="N369" s="330"/>
      <c r="O369" s="330"/>
      <c r="P369" s="330"/>
      <c r="Q369" s="330"/>
      <c r="R369" s="330"/>
      <c r="S369" s="330"/>
      <c r="T369" s="330"/>
      <c r="U369" s="331"/>
      <c r="V369" s="247" t="e">
        <f>VLOOKUP(E369,Лист4!A$2:G$395,7,FALSE)</f>
        <v>#N/A</v>
      </c>
      <c r="W369" s="247">
        <f>IF(ISNA(V369),VLOOKUP(E369,категория!A$42:C$74,3,),6.94+R369*8.333/VLOOKUP(V369,категория!A$42:C$74,2,))</f>
        <v>3.47</v>
      </c>
    </row>
    <row r="370" spans="1:23" ht="60">
      <c r="A370" s="336">
        <v>43846.701388888891</v>
      </c>
      <c r="B370" s="336">
        <v>43846.725694444445</v>
      </c>
      <c r="C370" s="277">
        <f t="shared" si="18"/>
        <v>2.4305555554747116E-2</v>
      </c>
      <c r="D370" s="338">
        <v>2.4305555555555556E-2</v>
      </c>
      <c r="E370" s="340">
        <v>97</v>
      </c>
      <c r="F370" s="280" t="s">
        <v>312</v>
      </c>
      <c r="G370" s="280" t="s">
        <v>486</v>
      </c>
      <c r="H370" s="281" t="s">
        <v>226</v>
      </c>
      <c r="I370" s="282">
        <v>43852</v>
      </c>
      <c r="J370" s="283"/>
      <c r="K370" s="279" t="s">
        <v>227</v>
      </c>
      <c r="L370" s="284"/>
      <c r="M370" s="285"/>
      <c r="N370" s="280" t="s">
        <v>41</v>
      </c>
      <c r="O370" s="279">
        <v>250</v>
      </c>
      <c r="P370" s="279" t="s">
        <v>228</v>
      </c>
      <c r="Q370" s="286" t="s">
        <v>229</v>
      </c>
      <c r="R370" s="287">
        <v>270</v>
      </c>
      <c r="S370" s="287">
        <v>367</v>
      </c>
      <c r="T370" s="283" t="s">
        <v>232</v>
      </c>
      <c r="U370" s="287" t="s">
        <v>230</v>
      </c>
      <c r="V370" s="247" t="str">
        <f>VLOOKUP(E370,Лист4!A$2:G$395,7,FALSE)</f>
        <v>мел+офсет</v>
      </c>
      <c r="W370" s="247">
        <f>IF(ISNA(V370),VLOOKUP(E370,категория!A$42:C$74,3,),6.94+R370*8.333/VLOOKUP(V370,категория!A$42:C$74,2,))</f>
        <v>7.3899820000000007</v>
      </c>
    </row>
    <row r="371" spans="1:23">
      <c r="A371" s="337"/>
      <c r="B371" s="337"/>
      <c r="C371" s="277">
        <f t="shared" si="18"/>
        <v>0</v>
      </c>
      <c r="D371" s="339"/>
      <c r="E371" s="341"/>
      <c r="F371" s="342" t="s">
        <v>487</v>
      </c>
      <c r="G371" s="343"/>
      <c r="H371" s="343"/>
      <c r="I371" s="343"/>
      <c r="J371" s="343"/>
      <c r="K371" s="343"/>
      <c r="L371" s="343"/>
      <c r="M371" s="343"/>
      <c r="N371" s="343"/>
      <c r="O371" s="343"/>
      <c r="P371" s="343"/>
      <c r="Q371" s="343"/>
      <c r="R371" s="343"/>
      <c r="S371" s="343"/>
      <c r="T371" s="343"/>
      <c r="U371" s="344"/>
      <c r="V371" s="247" t="e">
        <f>VLOOKUP(E371,Лист4!A$2:G$395,7,FALSE)</f>
        <v>#N/A</v>
      </c>
      <c r="W371" s="247">
        <v>0</v>
      </c>
    </row>
    <row r="372" spans="1:23" ht="15.75">
      <c r="A372" s="277">
        <v>43846.725694444445</v>
      </c>
      <c r="B372" s="277">
        <v>43846.732638888891</v>
      </c>
      <c r="C372" s="277">
        <f t="shared" si="18"/>
        <v>6.9444444452528842E-3</v>
      </c>
      <c r="D372" s="278">
        <v>1.0416666666666666E-2</v>
      </c>
      <c r="E372" s="329" t="s">
        <v>170</v>
      </c>
      <c r="F372" s="330"/>
      <c r="G372" s="330"/>
      <c r="H372" s="330"/>
      <c r="I372" s="330"/>
      <c r="J372" s="330"/>
      <c r="K372" s="330"/>
      <c r="L372" s="330"/>
      <c r="M372" s="330"/>
      <c r="N372" s="330"/>
      <c r="O372" s="330"/>
      <c r="P372" s="330"/>
      <c r="Q372" s="330"/>
      <c r="R372" s="330"/>
      <c r="S372" s="330"/>
      <c r="T372" s="330"/>
      <c r="U372" s="331"/>
      <c r="V372" s="247" t="e">
        <f>VLOOKUP(E372,Лист4!A$2:G$395,7,FALSE)</f>
        <v>#N/A</v>
      </c>
      <c r="W372" s="247">
        <f>IF(ISNA(V372),VLOOKUP(E372,категория!A$42:C$74,3,),6.94+R372*8.333/VLOOKUP(V372,категория!A$42:C$74,2,))</f>
        <v>2.085</v>
      </c>
    </row>
    <row r="373" spans="1:23" ht="15.75">
      <c r="A373" s="277">
        <v>43846.732638888891</v>
      </c>
      <c r="B373" s="277">
        <v>43846.763888888891</v>
      </c>
      <c r="C373" s="277">
        <f t="shared" si="18"/>
        <v>3.125E-2</v>
      </c>
      <c r="D373" s="278">
        <v>4.1666666666666664E-2</v>
      </c>
      <c r="E373" s="329" t="s">
        <v>28</v>
      </c>
      <c r="F373" s="330"/>
      <c r="G373" s="330"/>
      <c r="H373" s="330"/>
      <c r="I373" s="330"/>
      <c r="J373" s="330"/>
      <c r="K373" s="330"/>
      <c r="L373" s="330"/>
      <c r="M373" s="330"/>
      <c r="N373" s="330"/>
      <c r="O373" s="330"/>
      <c r="P373" s="330"/>
      <c r="Q373" s="330"/>
      <c r="R373" s="330"/>
      <c r="S373" s="330"/>
      <c r="T373" s="330"/>
      <c r="U373" s="331"/>
      <c r="V373" s="247" t="e">
        <f>VLOOKUP(E373,Лист4!A$2:G$395,7,FALSE)</f>
        <v>#N/A</v>
      </c>
      <c r="W373" s="247">
        <f>IF(ISNA(V373),VLOOKUP(E373,категория!A$42:C$74,3,),6.94+R373*8.333/VLOOKUP(V373,категория!A$42:C$74,2,))*0.75</f>
        <v>6.2499749999999992</v>
      </c>
    </row>
    <row r="374" spans="1:23" ht="60">
      <c r="A374" s="277">
        <v>43846.763888888891</v>
      </c>
      <c r="B374" s="277">
        <v>43846.784722222219</v>
      </c>
      <c r="C374" s="277">
        <f t="shared" si="18"/>
        <v>2.0833333328482695E-2</v>
      </c>
      <c r="D374" s="278">
        <v>2.0833333333333332E-2</v>
      </c>
      <c r="E374" s="279">
        <v>3513</v>
      </c>
      <c r="F374" s="280" t="s">
        <v>488</v>
      </c>
      <c r="G374" s="280" t="s">
        <v>489</v>
      </c>
      <c r="H374" s="281" t="s">
        <v>304</v>
      </c>
      <c r="I374" s="282">
        <v>43846</v>
      </c>
      <c r="J374" s="283"/>
      <c r="K374" s="279" t="s">
        <v>227</v>
      </c>
      <c r="L374" s="284"/>
      <c r="M374" s="285"/>
      <c r="N374" s="280" t="s">
        <v>40</v>
      </c>
      <c r="O374" s="279">
        <v>235</v>
      </c>
      <c r="P374" s="279" t="s">
        <v>236</v>
      </c>
      <c r="Q374" s="286" t="s">
        <v>229</v>
      </c>
      <c r="R374" s="287">
        <v>320</v>
      </c>
      <c r="S374" s="287">
        <v>514</v>
      </c>
      <c r="T374" s="283" t="s">
        <v>232</v>
      </c>
      <c r="U374" s="287" t="s">
        <v>230</v>
      </c>
      <c r="V374" s="247" t="str">
        <f>VLOOKUP(E374,Лист4!A$2:G$395,7,FALSE)</f>
        <v>мел+офсет</v>
      </c>
      <c r="W374" s="247">
        <f>IF(ISNA(V374),VLOOKUP(E374,категория!A$42:C$74,3,),6.94+R374*8.333/VLOOKUP(V374,категория!A$42:C$74,2,))</f>
        <v>7.473312</v>
      </c>
    </row>
    <row r="375" spans="1:23" ht="15.75">
      <c r="A375" s="277">
        <v>43846.784722222219</v>
      </c>
      <c r="B375" s="277">
        <v>43846.791666666664</v>
      </c>
      <c r="C375" s="277">
        <f t="shared" si="18"/>
        <v>6.9444444452528842E-3</v>
      </c>
      <c r="D375" s="278">
        <v>1.0416666666666666E-2</v>
      </c>
      <c r="E375" s="329" t="s">
        <v>170</v>
      </c>
      <c r="F375" s="330"/>
      <c r="G375" s="330"/>
      <c r="H375" s="330"/>
      <c r="I375" s="330"/>
      <c r="J375" s="330"/>
      <c r="K375" s="330"/>
      <c r="L375" s="330"/>
      <c r="M375" s="330"/>
      <c r="N375" s="330"/>
      <c r="O375" s="330"/>
      <c r="P375" s="330"/>
      <c r="Q375" s="330"/>
      <c r="R375" s="330"/>
      <c r="S375" s="330"/>
      <c r="T375" s="330"/>
      <c r="U375" s="331"/>
      <c r="V375" s="247" t="e">
        <f>VLOOKUP(E375,Лист4!A$2:G$395,7,FALSE)</f>
        <v>#N/A</v>
      </c>
      <c r="W375" s="247">
        <f>IF(ISNA(V375),VLOOKUP(E375,категория!A$42:C$74,3,),6.94+R375*8.333/VLOOKUP(V375,категория!A$42:C$74,2,))</f>
        <v>2.085</v>
      </c>
    </row>
    <row r="376" spans="1:23" ht="15.75">
      <c r="A376" s="277">
        <v>43846.791666666664</v>
      </c>
      <c r="B376" s="277">
        <v>43846.833333333336</v>
      </c>
      <c r="C376" s="277">
        <f t="shared" si="18"/>
        <v>4.1666666671517305E-2</v>
      </c>
      <c r="D376" s="278">
        <v>4.1666666666666664E-2</v>
      </c>
      <c r="E376" s="329" t="s">
        <v>7</v>
      </c>
      <c r="F376" s="330"/>
      <c r="G376" s="330"/>
      <c r="H376" s="330"/>
      <c r="I376" s="330"/>
      <c r="J376" s="330"/>
      <c r="K376" s="330"/>
      <c r="L376" s="330"/>
      <c r="M376" s="330"/>
      <c r="N376" s="330"/>
      <c r="O376" s="330"/>
      <c r="P376" s="330"/>
      <c r="Q376" s="330"/>
      <c r="R376" s="330"/>
      <c r="S376" s="330"/>
      <c r="T376" s="330"/>
      <c r="U376" s="331"/>
      <c r="V376" s="247" t="e">
        <f>VLOOKUP(E376,Лист4!A$2:G$395,7,FALSE)</f>
        <v>#N/A</v>
      </c>
      <c r="W376" s="247">
        <f>IF(ISNA(V376),VLOOKUP(E376,категория!A$42:C$74,3,),6.94+R376*8.333/VLOOKUP(V376,категория!A$42:C$74,2,))</f>
        <v>8.3332999999999995</v>
      </c>
    </row>
    <row r="377" spans="1:23" ht="15.75">
      <c r="A377" s="288">
        <v>43846.833333333336</v>
      </c>
      <c r="B377" s="332" t="s">
        <v>490</v>
      </c>
      <c r="C377" s="333"/>
      <c r="D377" s="334"/>
      <c r="E377" s="334"/>
      <c r="F377" s="334"/>
      <c r="G377" s="334"/>
      <c r="H377" s="334"/>
      <c r="I377" s="334"/>
      <c r="J377" s="334"/>
      <c r="K377" s="334"/>
      <c r="L377" s="334"/>
      <c r="M377" s="334"/>
      <c r="N377" s="334"/>
      <c r="O377" s="334"/>
      <c r="P377" s="334"/>
      <c r="Q377" s="334"/>
      <c r="R377" s="334"/>
      <c r="S377" s="334"/>
      <c r="T377" s="334"/>
      <c r="U377" s="335"/>
      <c r="V377" s="247" t="e">
        <f>VLOOKUP(E377,Лист4!A$2:G$395,7,FALSE)</f>
        <v>#N/A</v>
      </c>
      <c r="W377" s="52">
        <f>SUM(W353:W376)</f>
        <v>123.55023460919537</v>
      </c>
    </row>
    <row r="378" spans="1:23" ht="15.75">
      <c r="A378" s="277">
        <v>43846.833333333336</v>
      </c>
      <c r="B378" s="277">
        <v>43846.854166666664</v>
      </c>
      <c r="C378" s="277">
        <f>B378-A378</f>
        <v>2.0833333328482695E-2</v>
      </c>
      <c r="D378" s="278">
        <v>2.0833333333333332E-2</v>
      </c>
      <c r="E378" s="329" t="s">
        <v>22</v>
      </c>
      <c r="F378" s="330"/>
      <c r="G378" s="330"/>
      <c r="H378" s="330"/>
      <c r="I378" s="330"/>
      <c r="J378" s="330"/>
      <c r="K378" s="330"/>
      <c r="L378" s="330"/>
      <c r="M378" s="330"/>
      <c r="N378" s="330"/>
      <c r="O378" s="330"/>
      <c r="P378" s="330"/>
      <c r="Q378" s="330"/>
      <c r="R378" s="330"/>
      <c r="S378" s="330"/>
      <c r="T378" s="330"/>
      <c r="U378" s="331"/>
      <c r="V378" s="247" t="e">
        <f>VLOOKUP(E378,Лист4!A$2:G$395,7,FALSE)</f>
        <v>#N/A</v>
      </c>
      <c r="W378" s="247">
        <f>IF(ISNA(V378),VLOOKUP(E378,категория!A$42:C$74,3,),6.94+R378*8.333/VLOOKUP(V378,категория!A$42:C$74,2,))</f>
        <v>4.17</v>
      </c>
    </row>
    <row r="379" spans="1:23" ht="15.75">
      <c r="A379" s="277">
        <v>43846.854166666664</v>
      </c>
      <c r="B379" s="277">
        <v>43846.881944444445</v>
      </c>
      <c r="C379" s="277">
        <f t="shared" ref="C379:C396" si="19">B379-A379</f>
        <v>2.7777777781011537E-2</v>
      </c>
      <c r="D379" s="278">
        <v>3.472222222222222E-3</v>
      </c>
      <c r="E379" s="329" t="s">
        <v>327</v>
      </c>
      <c r="F379" s="330"/>
      <c r="G379" s="330"/>
      <c r="H379" s="330"/>
      <c r="I379" s="330"/>
      <c r="J379" s="330"/>
      <c r="K379" s="330"/>
      <c r="L379" s="330"/>
      <c r="M379" s="330"/>
      <c r="N379" s="330"/>
      <c r="O379" s="330"/>
      <c r="P379" s="330"/>
      <c r="Q379" s="330"/>
      <c r="R379" s="330"/>
      <c r="S379" s="330"/>
      <c r="T379" s="330"/>
      <c r="U379" s="331"/>
      <c r="V379" s="247" t="e">
        <f>VLOOKUP(E379,Лист4!A$2:G$395,7,FALSE)</f>
        <v>#N/A</v>
      </c>
      <c r="W379" s="247">
        <f>8.33*0.6667</f>
        <v>5.5536110000000001</v>
      </c>
    </row>
    <row r="380" spans="1:23" ht="60">
      <c r="A380" s="277">
        <v>43846.881944444445</v>
      </c>
      <c r="B380" s="277">
        <v>43846.916666666664</v>
      </c>
      <c r="C380" s="277">
        <f t="shared" si="19"/>
        <v>3.4722222218988463E-2</v>
      </c>
      <c r="D380" s="278">
        <v>3.4722222222222224E-2</v>
      </c>
      <c r="E380" s="279">
        <v>3513</v>
      </c>
      <c r="F380" s="280" t="s">
        <v>488</v>
      </c>
      <c r="G380" s="280" t="s">
        <v>489</v>
      </c>
      <c r="H380" s="281" t="s">
        <v>252</v>
      </c>
      <c r="I380" s="282">
        <v>43846</v>
      </c>
      <c r="J380" s="283"/>
      <c r="K380" s="279" t="s">
        <v>227</v>
      </c>
      <c r="L380" s="284"/>
      <c r="M380" s="285"/>
      <c r="N380" s="280" t="s">
        <v>53</v>
      </c>
      <c r="O380" s="279">
        <v>300</v>
      </c>
      <c r="P380" s="279" t="s">
        <v>228</v>
      </c>
      <c r="Q380" s="286" t="s">
        <v>229</v>
      </c>
      <c r="R380" s="287">
        <v>2070</v>
      </c>
      <c r="S380" s="287">
        <v>2450</v>
      </c>
      <c r="T380" s="283" t="s">
        <v>232</v>
      </c>
      <c r="U380" s="287" t="s">
        <v>77</v>
      </c>
      <c r="V380" s="247" t="str">
        <f>VLOOKUP(E380,Лист4!A$2:G$395,7,FALSE)</f>
        <v>мел+офсет</v>
      </c>
      <c r="W380" s="247">
        <f>IF(ISNA(V380),VLOOKUP(E380,категория!A$42:C$74,3,),6.94+R380*8.333/VLOOKUP(V380,категория!A$42:C$74,2,))</f>
        <v>10.389862000000001</v>
      </c>
    </row>
    <row r="381" spans="1:23" ht="15.75">
      <c r="A381" s="277">
        <v>43846.916666666664</v>
      </c>
      <c r="B381" s="277">
        <v>43846.972222222219</v>
      </c>
      <c r="C381" s="277">
        <f t="shared" si="19"/>
        <v>5.5555555554747116E-2</v>
      </c>
      <c r="D381" s="278">
        <v>3.472222222222222E-3</v>
      </c>
      <c r="E381" s="329" t="s">
        <v>237</v>
      </c>
      <c r="F381" s="330"/>
      <c r="G381" s="330"/>
      <c r="H381" s="330"/>
      <c r="I381" s="330"/>
      <c r="J381" s="330"/>
      <c r="K381" s="330"/>
      <c r="L381" s="330"/>
      <c r="M381" s="330"/>
      <c r="N381" s="330"/>
      <c r="O381" s="330"/>
      <c r="P381" s="330"/>
      <c r="Q381" s="330"/>
      <c r="R381" s="330"/>
      <c r="S381" s="330"/>
      <c r="T381" s="330"/>
      <c r="U381" s="331"/>
      <c r="V381" s="247" t="e">
        <f>VLOOKUP(E381,Лист4!A$2:G$395,7,FALSE)</f>
        <v>#N/A</v>
      </c>
      <c r="W381" s="247">
        <f>IF(ISNA(V381),VLOOKUP(E381,категория!A$42:C$74,3,),6.94+R381*8.333/VLOOKUP(V381,категория!A$42:C$74,2,))</f>
        <v>5.5553333333333335</v>
      </c>
    </row>
    <row r="382" spans="1:23" ht="60">
      <c r="A382" s="277">
        <v>43846.972222222219</v>
      </c>
      <c r="B382" s="277">
        <v>43847.006944444445</v>
      </c>
      <c r="C382" s="277">
        <f t="shared" si="19"/>
        <v>3.4722222226264421E-2</v>
      </c>
      <c r="D382" s="278">
        <v>3.4722222222222224E-2</v>
      </c>
      <c r="E382" s="279">
        <v>3513</v>
      </c>
      <c r="F382" s="280" t="s">
        <v>488</v>
      </c>
      <c r="G382" s="280" t="s">
        <v>489</v>
      </c>
      <c r="H382" s="281" t="s">
        <v>251</v>
      </c>
      <c r="I382" s="282">
        <v>43846</v>
      </c>
      <c r="J382" s="283"/>
      <c r="K382" s="279" t="s">
        <v>240</v>
      </c>
      <c r="L382" s="284"/>
      <c r="M382" s="285"/>
      <c r="N382" s="280" t="s">
        <v>53</v>
      </c>
      <c r="O382" s="279">
        <v>300</v>
      </c>
      <c r="P382" s="279" t="s">
        <v>228</v>
      </c>
      <c r="Q382" s="286" t="s">
        <v>229</v>
      </c>
      <c r="R382" s="287">
        <v>2200</v>
      </c>
      <c r="S382" s="287">
        <v>2450</v>
      </c>
      <c r="T382" s="283" t="s">
        <v>232</v>
      </c>
      <c r="U382" s="287" t="s">
        <v>77</v>
      </c>
      <c r="V382" s="247" t="str">
        <f>VLOOKUP(E382,Лист4!A$2:G$395,7,FALSE)</f>
        <v>мел+офсет</v>
      </c>
      <c r="W382" s="247">
        <f>IF(ISNA(V382),VLOOKUP(E382,категория!A$42:C$74,3,),6.94+R382*8.333/VLOOKUP(V382,категория!A$42:C$74,2,))</f>
        <v>10.60652</v>
      </c>
    </row>
    <row r="383" spans="1:23" ht="15.75">
      <c r="A383" s="277">
        <v>43847.006944444445</v>
      </c>
      <c r="B383" s="277">
        <v>43847.013888888891</v>
      </c>
      <c r="C383" s="277">
        <f t="shared" si="19"/>
        <v>6.9444444452528842E-3</v>
      </c>
      <c r="D383" s="278">
        <v>2.0833333333333332E-2</v>
      </c>
      <c r="E383" s="329" t="s">
        <v>2</v>
      </c>
      <c r="F383" s="330"/>
      <c r="G383" s="330"/>
      <c r="H383" s="330"/>
      <c r="I383" s="330"/>
      <c r="J383" s="330"/>
      <c r="K383" s="330"/>
      <c r="L383" s="330"/>
      <c r="M383" s="330"/>
      <c r="N383" s="330"/>
      <c r="O383" s="330"/>
      <c r="P383" s="330"/>
      <c r="Q383" s="330"/>
      <c r="R383" s="330"/>
      <c r="S383" s="330"/>
      <c r="T383" s="330"/>
      <c r="U383" s="331"/>
      <c r="V383" s="247" t="e">
        <f>VLOOKUP(E383,Лист4!A$2:G$395,7,FALSE)</f>
        <v>#N/A</v>
      </c>
      <c r="W383" s="247">
        <f>IF(ISNA(V383),VLOOKUP(E383,категория!A$42:C$74,3,),6.94+R383*8.333/VLOOKUP(V383,категория!A$42:C$74,2,))</f>
        <v>4.17</v>
      </c>
    </row>
    <row r="384" spans="1:23" ht="15.75">
      <c r="A384" s="277">
        <v>43847.013888888891</v>
      </c>
      <c r="B384" s="277">
        <v>43847.027777777781</v>
      </c>
      <c r="C384" s="277">
        <f t="shared" si="19"/>
        <v>1.3888888890505768E-2</v>
      </c>
      <c r="D384" s="278">
        <v>2.0833333333333332E-2</v>
      </c>
      <c r="E384" s="329" t="s">
        <v>23</v>
      </c>
      <c r="F384" s="330"/>
      <c r="G384" s="330"/>
      <c r="H384" s="330"/>
      <c r="I384" s="330"/>
      <c r="J384" s="330"/>
      <c r="K384" s="330"/>
      <c r="L384" s="330"/>
      <c r="M384" s="330"/>
      <c r="N384" s="330"/>
      <c r="O384" s="330"/>
      <c r="P384" s="330"/>
      <c r="Q384" s="330"/>
      <c r="R384" s="330"/>
      <c r="S384" s="330"/>
      <c r="T384" s="330"/>
      <c r="U384" s="331"/>
      <c r="V384" s="247" t="e">
        <f>VLOOKUP(E384,Лист4!A$2:G$395,7,FALSE)</f>
        <v>#N/A</v>
      </c>
      <c r="W384" s="247">
        <f>IF(ISNA(V384),VLOOKUP(E384,категория!A$42:C$74,3,),6.94+R384*8.333/VLOOKUP(V384,категория!A$42:C$74,2,))</f>
        <v>2.78</v>
      </c>
    </row>
    <row r="385" spans="1:23" ht="15.75">
      <c r="A385" s="277">
        <v>43847.027777777781</v>
      </c>
      <c r="B385" s="277">
        <v>43847.083333333336</v>
      </c>
      <c r="C385" s="277">
        <f t="shared" si="19"/>
        <v>5.5555555554747116E-2</v>
      </c>
      <c r="D385" s="278">
        <v>3.472222222222222E-3</v>
      </c>
      <c r="E385" s="329" t="s">
        <v>327</v>
      </c>
      <c r="F385" s="330"/>
      <c r="G385" s="330"/>
      <c r="H385" s="330"/>
      <c r="I385" s="330"/>
      <c r="J385" s="330"/>
      <c r="K385" s="330"/>
      <c r="L385" s="330"/>
      <c r="M385" s="330"/>
      <c r="N385" s="330"/>
      <c r="O385" s="330"/>
      <c r="P385" s="330"/>
      <c r="Q385" s="330"/>
      <c r="R385" s="330"/>
      <c r="S385" s="330"/>
      <c r="T385" s="330"/>
      <c r="U385" s="331"/>
      <c r="V385" s="247" t="e">
        <f>VLOOKUP(E385,Лист4!A$2:G$395,7,FALSE)</f>
        <v>#N/A</v>
      </c>
      <c r="W385" s="247">
        <f>8.33*1.33</f>
        <v>11.078900000000001</v>
      </c>
    </row>
    <row r="386" spans="1:23" ht="61.5" customHeight="1">
      <c r="A386" s="277">
        <v>43847.083333333336</v>
      </c>
      <c r="B386" s="277">
        <v>43847.118055555555</v>
      </c>
      <c r="C386" s="277">
        <f t="shared" si="19"/>
        <v>3.4722222218988463E-2</v>
      </c>
      <c r="D386" s="278">
        <v>3.4722222222222224E-2</v>
      </c>
      <c r="E386" s="279">
        <v>110</v>
      </c>
      <c r="F386" s="280" t="s">
        <v>348</v>
      </c>
      <c r="G386" s="280" t="s">
        <v>376</v>
      </c>
      <c r="H386" s="281" t="s">
        <v>233</v>
      </c>
      <c r="I386" s="282">
        <v>43857</v>
      </c>
      <c r="J386" s="283"/>
      <c r="K386" s="279" t="s">
        <v>227</v>
      </c>
      <c r="L386" s="284"/>
      <c r="M386" s="285"/>
      <c r="N386" s="280" t="s">
        <v>35</v>
      </c>
      <c r="O386" s="279">
        <v>300</v>
      </c>
      <c r="P386" s="279" t="s">
        <v>236</v>
      </c>
      <c r="Q386" s="286" t="s">
        <v>229</v>
      </c>
      <c r="R386" s="287">
        <v>500</v>
      </c>
      <c r="S386" s="287">
        <v>803</v>
      </c>
      <c r="T386" s="283" t="s">
        <v>232</v>
      </c>
      <c r="U386" s="287" t="s">
        <v>77</v>
      </c>
      <c r="V386" s="247" t="str">
        <f>VLOOKUP(E386,Лист4!A$2:G$395,7,FALSE)</f>
        <v>мел+офсет</v>
      </c>
      <c r="W386" s="247">
        <f>IF(ISNA(V386),VLOOKUP(E386,категория!A$42:C$74,3,),6.94+R386*8.333/VLOOKUP(V386,категория!A$42:C$74,2,))</f>
        <v>7.7733000000000008</v>
      </c>
    </row>
    <row r="387" spans="1:23" ht="15.75">
      <c r="A387" s="277">
        <v>43847.118055555555</v>
      </c>
      <c r="B387" s="277">
        <v>43847.125</v>
      </c>
      <c r="C387" s="277">
        <f t="shared" si="19"/>
        <v>6.9444444452528842E-3</v>
      </c>
      <c r="D387" s="278">
        <v>1.0416666666666666E-2</v>
      </c>
      <c r="E387" s="329" t="s">
        <v>170</v>
      </c>
      <c r="F387" s="330"/>
      <c r="G387" s="330"/>
      <c r="H387" s="330"/>
      <c r="I387" s="330"/>
      <c r="J387" s="330"/>
      <c r="K387" s="330"/>
      <c r="L387" s="330"/>
      <c r="M387" s="330"/>
      <c r="N387" s="330"/>
      <c r="O387" s="330"/>
      <c r="P387" s="330"/>
      <c r="Q387" s="330"/>
      <c r="R387" s="330"/>
      <c r="S387" s="330"/>
      <c r="T387" s="330"/>
      <c r="U387" s="331"/>
      <c r="V387" s="247" t="e">
        <f>VLOOKUP(E387,Лист4!A$2:G$395,7,FALSE)</f>
        <v>#N/A</v>
      </c>
      <c r="W387" s="247">
        <f>IF(ISNA(V387),VLOOKUP(E387,категория!A$42:C$74,3,),6.94+R387*8.333/VLOOKUP(V387,категория!A$42:C$74,2,))</f>
        <v>2.085</v>
      </c>
    </row>
    <row r="388" spans="1:23" ht="15.75">
      <c r="A388" s="277">
        <v>43847.125</v>
      </c>
      <c r="B388" s="277">
        <v>43847.145833333336</v>
      </c>
      <c r="C388" s="277">
        <f t="shared" si="19"/>
        <v>2.0833333335758653E-2</v>
      </c>
      <c r="D388" s="278">
        <v>2.0833333333333332E-2</v>
      </c>
      <c r="E388" s="329" t="s">
        <v>2</v>
      </c>
      <c r="F388" s="330"/>
      <c r="G388" s="330"/>
      <c r="H388" s="330"/>
      <c r="I388" s="330"/>
      <c r="J388" s="330"/>
      <c r="K388" s="330"/>
      <c r="L388" s="330"/>
      <c r="M388" s="330"/>
      <c r="N388" s="330"/>
      <c r="O388" s="330"/>
      <c r="P388" s="330"/>
      <c r="Q388" s="330"/>
      <c r="R388" s="330"/>
      <c r="S388" s="330"/>
      <c r="T388" s="330"/>
      <c r="U388" s="331"/>
      <c r="V388" s="247" t="e">
        <f>VLOOKUP(E388,Лист4!A$2:G$395,7,FALSE)</f>
        <v>#N/A</v>
      </c>
      <c r="W388" s="247">
        <f>IF(ISNA(V388),VLOOKUP(E388,категория!A$42:C$74,3,),6.94+R388*8.333/VLOOKUP(V388,категория!A$42:C$74,2,))</f>
        <v>4.17</v>
      </c>
    </row>
    <row r="389" spans="1:23" ht="15.75">
      <c r="A389" s="277">
        <v>43847.145833333336</v>
      </c>
      <c r="B389" s="277">
        <v>43847.215277777781</v>
      </c>
      <c r="C389" s="277">
        <f t="shared" si="19"/>
        <v>6.9444444445252884E-2</v>
      </c>
      <c r="D389" s="278">
        <v>0.5</v>
      </c>
      <c r="E389" s="329" t="s">
        <v>10</v>
      </c>
      <c r="F389" s="330"/>
      <c r="G389" s="330"/>
      <c r="H389" s="330"/>
      <c r="I389" s="330"/>
      <c r="J389" s="330"/>
      <c r="K389" s="330"/>
      <c r="L389" s="330"/>
      <c r="M389" s="330"/>
      <c r="N389" s="330"/>
      <c r="O389" s="330"/>
      <c r="P389" s="330"/>
      <c r="Q389" s="330"/>
      <c r="R389" s="330"/>
      <c r="S389" s="330"/>
      <c r="T389" s="330"/>
      <c r="U389" s="331"/>
      <c r="V389" s="247" t="e">
        <f>VLOOKUP(E389,Лист4!A$2:G$395,7,FALSE)</f>
        <v>#N/A</v>
      </c>
      <c r="W389" s="247">
        <f>IF(ISNA(V389),VLOOKUP(E389,категория!A$42:C$74,3,),6.94+R389*8.333/VLOOKUP(V389,категория!A$42:C$74,2,))*1.667</f>
        <v>13.891611099999999</v>
      </c>
    </row>
    <row r="390" spans="1:23" ht="60">
      <c r="A390" s="336">
        <v>43847.215277777781</v>
      </c>
      <c r="B390" s="336">
        <v>43847.25</v>
      </c>
      <c r="C390" s="277">
        <f t="shared" si="19"/>
        <v>3.4722222218988463E-2</v>
      </c>
      <c r="D390" s="338">
        <v>3.4722222222222224E-2</v>
      </c>
      <c r="E390" s="340">
        <v>93</v>
      </c>
      <c r="F390" s="280" t="s">
        <v>257</v>
      </c>
      <c r="G390" s="280" t="s">
        <v>491</v>
      </c>
      <c r="H390" s="281" t="s">
        <v>258</v>
      </c>
      <c r="I390" s="282">
        <v>43854</v>
      </c>
      <c r="J390" s="283"/>
      <c r="K390" s="279" t="s">
        <v>227</v>
      </c>
      <c r="L390" s="284"/>
      <c r="M390" s="285"/>
      <c r="N390" s="280" t="s">
        <v>35</v>
      </c>
      <c r="O390" s="279">
        <v>230</v>
      </c>
      <c r="P390" s="279" t="s">
        <v>228</v>
      </c>
      <c r="Q390" s="286" t="s">
        <v>229</v>
      </c>
      <c r="R390" s="287">
        <v>3000</v>
      </c>
      <c r="S390" s="287">
        <v>3424</v>
      </c>
      <c r="T390" s="283" t="s">
        <v>232</v>
      </c>
      <c r="U390" s="287" t="s">
        <v>77</v>
      </c>
      <c r="V390" s="247" t="str">
        <f>VLOOKUP(E390,Лист4!A$2:G$395,7,FALSE)</f>
        <v>картон до 250</v>
      </c>
      <c r="W390" s="247">
        <f>IF(ISNA(V390),VLOOKUP(E390,категория!A$42:C$74,3,),6.94+R390*8.333/VLOOKUP(V390,категория!A$42:C$74,2,))</f>
        <v>14.515454545454546</v>
      </c>
    </row>
    <row r="391" spans="1:23">
      <c r="A391" s="337"/>
      <c r="B391" s="337"/>
      <c r="C391" s="277">
        <f t="shared" si="19"/>
        <v>0</v>
      </c>
      <c r="D391" s="339"/>
      <c r="E391" s="341"/>
      <c r="F391" s="342" t="s">
        <v>492</v>
      </c>
      <c r="G391" s="343"/>
      <c r="H391" s="343"/>
      <c r="I391" s="343"/>
      <c r="J391" s="343"/>
      <c r="K391" s="343"/>
      <c r="L391" s="343"/>
      <c r="M391" s="343"/>
      <c r="N391" s="343"/>
      <c r="O391" s="343"/>
      <c r="P391" s="343"/>
      <c r="Q391" s="343"/>
      <c r="R391" s="343"/>
      <c r="S391" s="343"/>
      <c r="T391" s="343"/>
      <c r="U391" s="344"/>
      <c r="V391" s="247" t="e">
        <f>VLOOKUP(E391,Лист4!A$2:G$395,7,FALSE)</f>
        <v>#N/A</v>
      </c>
      <c r="W391" s="247">
        <v>0</v>
      </c>
    </row>
    <row r="392" spans="1:23" ht="15.75">
      <c r="A392" s="277">
        <v>43847.25</v>
      </c>
      <c r="B392" s="277">
        <v>43847.256944444445</v>
      </c>
      <c r="C392" s="277">
        <f t="shared" si="19"/>
        <v>6.9444444452528842E-3</v>
      </c>
      <c r="D392" s="278">
        <v>2.0833333333333332E-2</v>
      </c>
      <c r="E392" s="329" t="s">
        <v>2</v>
      </c>
      <c r="F392" s="330"/>
      <c r="G392" s="330"/>
      <c r="H392" s="330"/>
      <c r="I392" s="330"/>
      <c r="J392" s="330"/>
      <c r="K392" s="330"/>
      <c r="L392" s="330"/>
      <c r="M392" s="330"/>
      <c r="N392" s="330"/>
      <c r="O392" s="330"/>
      <c r="P392" s="330"/>
      <c r="Q392" s="330"/>
      <c r="R392" s="330"/>
      <c r="S392" s="330"/>
      <c r="T392" s="330"/>
      <c r="U392" s="331"/>
      <c r="V392" s="247" t="e">
        <f>VLOOKUP(E392,Лист4!A$2:G$395,7,FALSE)</f>
        <v>#N/A</v>
      </c>
      <c r="W392" s="247">
        <f>IF(ISNA(V392),VLOOKUP(E392,категория!A$42:C$74,3,),6.94+R392*8.333/VLOOKUP(V392,категория!A$42:C$74,2,))</f>
        <v>4.17</v>
      </c>
    </row>
    <row r="393" spans="1:23" ht="15.75">
      <c r="A393" s="277">
        <v>43847.256944444445</v>
      </c>
      <c r="B393" s="277">
        <v>43847.270833333336</v>
      </c>
      <c r="C393" s="277">
        <f t="shared" si="19"/>
        <v>1.3888888890505768E-2</v>
      </c>
      <c r="D393" s="278">
        <v>3.472222222222222E-3</v>
      </c>
      <c r="E393" s="329" t="s">
        <v>327</v>
      </c>
      <c r="F393" s="330"/>
      <c r="G393" s="330"/>
      <c r="H393" s="330"/>
      <c r="I393" s="330"/>
      <c r="J393" s="330"/>
      <c r="K393" s="330"/>
      <c r="L393" s="330"/>
      <c r="M393" s="330"/>
      <c r="N393" s="330"/>
      <c r="O393" s="330"/>
      <c r="P393" s="330"/>
      <c r="Q393" s="330"/>
      <c r="R393" s="330"/>
      <c r="S393" s="330"/>
      <c r="T393" s="330"/>
      <c r="U393" s="331"/>
      <c r="V393" s="247" t="e">
        <f>VLOOKUP(E393,Лист4!A$2:G$395,7,FALSE)</f>
        <v>#N/A</v>
      </c>
      <c r="W393" s="247">
        <f>8.333*0.333</f>
        <v>2.7748890000000004</v>
      </c>
    </row>
    <row r="394" spans="1:23" ht="60">
      <c r="A394" s="277">
        <v>43847.270833333336</v>
      </c>
      <c r="B394" s="277">
        <v>43847.295138888891</v>
      </c>
      <c r="C394" s="277">
        <f t="shared" si="19"/>
        <v>2.4305555554747116E-2</v>
      </c>
      <c r="D394" s="278">
        <v>2.4305555555555556E-2</v>
      </c>
      <c r="E394" s="279">
        <v>93</v>
      </c>
      <c r="F394" s="280" t="s">
        <v>257</v>
      </c>
      <c r="G394" s="280" t="s">
        <v>491</v>
      </c>
      <c r="H394" s="281" t="s">
        <v>259</v>
      </c>
      <c r="I394" s="282">
        <v>43854</v>
      </c>
      <c r="J394" s="283"/>
      <c r="K394" s="279" t="s">
        <v>227</v>
      </c>
      <c r="L394" s="284"/>
      <c r="M394" s="285"/>
      <c r="N394" s="280" t="s">
        <v>35</v>
      </c>
      <c r="O394" s="279">
        <v>230</v>
      </c>
      <c r="P394" s="279" t="s">
        <v>228</v>
      </c>
      <c r="Q394" s="286" t="s">
        <v>229</v>
      </c>
      <c r="R394" s="287">
        <v>2650</v>
      </c>
      <c r="S394" s="287">
        <v>2397</v>
      </c>
      <c r="T394" s="283" t="s">
        <v>232</v>
      </c>
      <c r="U394" s="287" t="s">
        <v>77</v>
      </c>
      <c r="V394" s="247" t="str">
        <f>VLOOKUP(E394,Лист4!A$2:G$395,7,FALSE)</f>
        <v>картон до 250</v>
      </c>
      <c r="W394" s="247">
        <f>IF(ISNA(V394),VLOOKUP(E394,категория!A$42:C$74,3,),R394*8.333/VLOOKUP(V394,категория!A$42:C$74,2,))</f>
        <v>6.6916515151515155</v>
      </c>
    </row>
    <row r="395" spans="1:23" ht="15.75">
      <c r="A395" s="277">
        <v>43847.295138888891</v>
      </c>
      <c r="B395" s="277">
        <v>43847.302083333336</v>
      </c>
      <c r="C395" s="277">
        <f t="shared" si="19"/>
        <v>6.9444444452528842E-3</v>
      </c>
      <c r="D395" s="278">
        <v>1.0416666666666666E-2</v>
      </c>
      <c r="E395" s="329" t="s">
        <v>170</v>
      </c>
      <c r="F395" s="330"/>
      <c r="G395" s="330"/>
      <c r="H395" s="330"/>
      <c r="I395" s="330"/>
      <c r="J395" s="330"/>
      <c r="K395" s="330"/>
      <c r="L395" s="330"/>
      <c r="M395" s="330"/>
      <c r="N395" s="330"/>
      <c r="O395" s="330"/>
      <c r="P395" s="330"/>
      <c r="Q395" s="330"/>
      <c r="R395" s="330"/>
      <c r="S395" s="330"/>
      <c r="T395" s="330"/>
      <c r="U395" s="331"/>
      <c r="V395" s="247" t="e">
        <f>VLOOKUP(E395,Лист4!A$2:G$395,7,FALSE)</f>
        <v>#N/A</v>
      </c>
      <c r="W395" s="247">
        <f>IF(ISNA(V395),VLOOKUP(E395,категория!A$42:C$74,3,),6.94+R395*8.333/VLOOKUP(V395,категория!A$42:C$74,2,))</f>
        <v>2.085</v>
      </c>
    </row>
    <row r="396" spans="1:23" ht="15.75">
      <c r="A396" s="277">
        <v>43847.302083333336</v>
      </c>
      <c r="B396" s="277">
        <v>43847.333333333336</v>
      </c>
      <c r="C396" s="277">
        <f t="shared" si="19"/>
        <v>3.125E-2</v>
      </c>
      <c r="D396" s="278">
        <v>4.1666666666666664E-2</v>
      </c>
      <c r="E396" s="329" t="s">
        <v>28</v>
      </c>
      <c r="F396" s="330"/>
      <c r="G396" s="330"/>
      <c r="H396" s="330"/>
      <c r="I396" s="330"/>
      <c r="J396" s="330"/>
      <c r="K396" s="330"/>
      <c r="L396" s="330"/>
      <c r="M396" s="330"/>
      <c r="N396" s="330"/>
      <c r="O396" s="330"/>
      <c r="P396" s="330"/>
      <c r="Q396" s="330"/>
      <c r="R396" s="330"/>
      <c r="S396" s="330"/>
      <c r="T396" s="330"/>
      <c r="U396" s="331"/>
      <c r="V396" s="247" t="e">
        <f>VLOOKUP(E396,Лист4!A$2:G$395,7,FALSE)</f>
        <v>#N/A</v>
      </c>
      <c r="W396" s="247">
        <f>IF(ISNA(V396),VLOOKUP(E396,категория!A$42:C$74,3,),6.94+R396*8.333/VLOOKUP(V396,категория!A$42:C$74,2,))*0.75</f>
        <v>6.2499749999999992</v>
      </c>
    </row>
    <row r="397" spans="1:23" ht="15.75">
      <c r="A397" s="288">
        <v>43847.333333333336</v>
      </c>
      <c r="B397" s="332" t="s">
        <v>493</v>
      </c>
      <c r="C397" s="333"/>
      <c r="D397" s="334"/>
      <c r="E397" s="334"/>
      <c r="F397" s="334"/>
      <c r="G397" s="334"/>
      <c r="H397" s="334"/>
      <c r="I397" s="334"/>
      <c r="J397" s="334"/>
      <c r="K397" s="334"/>
      <c r="L397" s="334"/>
      <c r="M397" s="334"/>
      <c r="N397" s="334"/>
      <c r="O397" s="334"/>
      <c r="P397" s="334"/>
      <c r="Q397" s="334"/>
      <c r="R397" s="334"/>
      <c r="S397" s="334"/>
      <c r="T397" s="334"/>
      <c r="U397" s="335"/>
      <c r="V397" s="247" t="e">
        <f>VLOOKUP(E397,Лист4!A$2:G$395,7,FALSE)</f>
        <v>#N/A</v>
      </c>
      <c r="W397" s="52">
        <f>SUM(W378:W396)</f>
        <v>118.71110749393941</v>
      </c>
    </row>
    <row r="398" spans="1:23" ht="15.75">
      <c r="A398" s="277">
        <v>43847.333333333336</v>
      </c>
      <c r="B398" s="277">
        <v>43847.354166666664</v>
      </c>
      <c r="C398" s="277">
        <f>B398-A398</f>
        <v>2.0833333328482695E-2</v>
      </c>
      <c r="D398" s="278">
        <v>2.0833333333333332E-2</v>
      </c>
      <c r="E398" s="329" t="s">
        <v>22</v>
      </c>
      <c r="F398" s="330"/>
      <c r="G398" s="330"/>
      <c r="H398" s="330"/>
      <c r="I398" s="330"/>
      <c r="J398" s="330"/>
      <c r="K398" s="330"/>
      <c r="L398" s="330"/>
      <c r="M398" s="330"/>
      <c r="N398" s="330"/>
      <c r="O398" s="330"/>
      <c r="P398" s="330"/>
      <c r="Q398" s="330"/>
      <c r="R398" s="330"/>
      <c r="S398" s="330"/>
      <c r="T398" s="330"/>
      <c r="U398" s="331"/>
      <c r="V398" s="247" t="e">
        <f>VLOOKUP(E398,Лист4!A$2:G$395,7,FALSE)</f>
        <v>#N/A</v>
      </c>
      <c r="W398" s="247">
        <f>IF(ISNA(V398),VLOOKUP(E398,категория!A$42:C$74,3,),6.94+R398*8.333/VLOOKUP(V398,категория!A$42:C$74,2,))</f>
        <v>4.17</v>
      </c>
    </row>
    <row r="399" spans="1:23" ht="15.75">
      <c r="A399" s="277">
        <v>43847.354166666664</v>
      </c>
      <c r="B399" s="277">
        <v>43847.395833333336</v>
      </c>
      <c r="C399" s="277">
        <f t="shared" ref="C399:C422" si="20">B399-A399</f>
        <v>4.1666666671517305E-2</v>
      </c>
      <c r="D399" s="278">
        <v>4.1666666666666664E-2</v>
      </c>
      <c r="E399" s="329" t="s">
        <v>28</v>
      </c>
      <c r="F399" s="330"/>
      <c r="G399" s="330"/>
      <c r="H399" s="330"/>
      <c r="I399" s="330"/>
      <c r="J399" s="330"/>
      <c r="K399" s="330"/>
      <c r="L399" s="330"/>
      <c r="M399" s="330"/>
      <c r="N399" s="330"/>
      <c r="O399" s="330"/>
      <c r="P399" s="330"/>
      <c r="Q399" s="330"/>
      <c r="R399" s="330"/>
      <c r="S399" s="330"/>
      <c r="T399" s="330"/>
      <c r="U399" s="331"/>
      <c r="V399" s="247" t="e">
        <f>VLOOKUP(E399,Лист4!A$2:G$395,7,FALSE)</f>
        <v>#N/A</v>
      </c>
      <c r="W399" s="247">
        <f>IF(ISNA(V399),VLOOKUP(E399,категория!A$42:C$74,3,),6.94+R399*8.333/VLOOKUP(V399,категория!A$42:C$74,2,))</f>
        <v>8.3332999999999995</v>
      </c>
    </row>
    <row r="400" spans="1:23" ht="48">
      <c r="A400" s="277">
        <v>43847.395833333336</v>
      </c>
      <c r="B400" s="277">
        <v>43847.423611111109</v>
      </c>
      <c r="C400" s="277">
        <f t="shared" si="20"/>
        <v>2.7777777773735579E-2</v>
      </c>
      <c r="D400" s="278">
        <v>2.7777777777777776E-2</v>
      </c>
      <c r="E400" s="279">
        <v>94</v>
      </c>
      <c r="F400" s="280" t="s">
        <v>257</v>
      </c>
      <c r="G400" s="280" t="s">
        <v>494</v>
      </c>
      <c r="H400" s="281" t="s">
        <v>226</v>
      </c>
      <c r="I400" s="282">
        <v>43854</v>
      </c>
      <c r="J400" s="283"/>
      <c r="K400" s="279" t="s">
        <v>227</v>
      </c>
      <c r="L400" s="284"/>
      <c r="M400" s="285"/>
      <c r="N400" s="280" t="s">
        <v>35</v>
      </c>
      <c r="O400" s="279">
        <v>250</v>
      </c>
      <c r="P400" s="279" t="s">
        <v>334</v>
      </c>
      <c r="Q400" s="286" t="s">
        <v>229</v>
      </c>
      <c r="R400" s="287">
        <v>1350</v>
      </c>
      <c r="S400" s="287">
        <v>1500</v>
      </c>
      <c r="T400" s="283" t="s">
        <v>232</v>
      </c>
      <c r="U400" s="287" t="s">
        <v>230</v>
      </c>
      <c r="V400" s="247" t="str">
        <f>VLOOKUP(E400,Лист4!A$2:G$395,7,FALSE)</f>
        <v>картон до 250</v>
      </c>
      <c r="W400" s="247">
        <f>IF(ISNA(V400),VLOOKUP(E400,категория!A$42:C$74,3,),6.94+R400*8.333/VLOOKUP(V400,категория!A$42:C$74,2,))</f>
        <v>10.348954545454546</v>
      </c>
    </row>
    <row r="401" spans="1:23" ht="15.75">
      <c r="A401" s="277">
        <v>43847.423611111109</v>
      </c>
      <c r="B401" s="277">
        <v>43847.430555555555</v>
      </c>
      <c r="C401" s="277">
        <f t="shared" si="20"/>
        <v>6.9444444452528842E-3</v>
      </c>
      <c r="D401" s="278">
        <v>2.0833333333333332E-2</v>
      </c>
      <c r="E401" s="329" t="s">
        <v>2</v>
      </c>
      <c r="F401" s="330"/>
      <c r="G401" s="330"/>
      <c r="H401" s="330"/>
      <c r="I401" s="330"/>
      <c r="J401" s="330"/>
      <c r="K401" s="330"/>
      <c r="L401" s="330"/>
      <c r="M401" s="330"/>
      <c r="N401" s="330"/>
      <c r="O401" s="330"/>
      <c r="P401" s="330"/>
      <c r="Q401" s="330"/>
      <c r="R401" s="330"/>
      <c r="S401" s="330"/>
      <c r="T401" s="330"/>
      <c r="U401" s="331"/>
      <c r="V401" s="247" t="e">
        <f>VLOOKUP(E401,Лист4!A$2:G$395,7,FALSE)</f>
        <v>#N/A</v>
      </c>
      <c r="W401" s="247">
        <f>IF(ISNA(V401),VLOOKUP(E401,категория!A$42:C$74,3,),6.94+R401*8.333/VLOOKUP(V401,категория!A$42:C$74,2,))</f>
        <v>4.17</v>
      </c>
    </row>
    <row r="402" spans="1:23" ht="15.75">
      <c r="A402" s="277">
        <v>43847.430555555555</v>
      </c>
      <c r="B402" s="277">
        <v>43847.447916666664</v>
      </c>
      <c r="C402" s="277">
        <f t="shared" si="20"/>
        <v>1.7361111109494232E-2</v>
      </c>
      <c r="D402" s="278">
        <v>1.7361111111111112E-2</v>
      </c>
      <c r="E402" s="329" t="s">
        <v>3</v>
      </c>
      <c r="F402" s="330"/>
      <c r="G402" s="330"/>
      <c r="H402" s="330"/>
      <c r="I402" s="330"/>
      <c r="J402" s="330"/>
      <c r="K402" s="330"/>
      <c r="L402" s="330"/>
      <c r="M402" s="330"/>
      <c r="N402" s="330"/>
      <c r="O402" s="330"/>
      <c r="P402" s="330"/>
      <c r="Q402" s="330"/>
      <c r="R402" s="330"/>
      <c r="S402" s="330"/>
      <c r="T402" s="330"/>
      <c r="U402" s="331"/>
      <c r="V402" s="247" t="e">
        <f>VLOOKUP(E402,Лист4!A$2:G$395,7,FALSE)</f>
        <v>#N/A</v>
      </c>
      <c r="W402" s="247">
        <f>IF(ISNA(V402),VLOOKUP(E402,категория!A$42:C$74,3,),6.94+R402*8.333/VLOOKUP(V402,категория!A$42:C$74,2,))</f>
        <v>4.17</v>
      </c>
    </row>
    <row r="403" spans="1:23" ht="15.75">
      <c r="A403" s="277">
        <v>43847.447916666664</v>
      </c>
      <c r="B403" s="277">
        <v>43847.465277777781</v>
      </c>
      <c r="C403" s="277">
        <f t="shared" si="20"/>
        <v>1.7361111116770189E-2</v>
      </c>
      <c r="D403" s="278">
        <v>2.0833333333333332E-2</v>
      </c>
      <c r="E403" s="329" t="s">
        <v>8</v>
      </c>
      <c r="F403" s="330"/>
      <c r="G403" s="330"/>
      <c r="H403" s="330"/>
      <c r="I403" s="330"/>
      <c r="J403" s="330"/>
      <c r="K403" s="330"/>
      <c r="L403" s="330"/>
      <c r="M403" s="330"/>
      <c r="N403" s="330"/>
      <c r="O403" s="330"/>
      <c r="P403" s="330"/>
      <c r="Q403" s="330"/>
      <c r="R403" s="330"/>
      <c r="S403" s="330"/>
      <c r="T403" s="330"/>
      <c r="U403" s="331"/>
      <c r="V403" s="247" t="e">
        <f>VLOOKUP(E403,Лист4!A$2:G$395,7,FALSE)</f>
        <v>#N/A</v>
      </c>
      <c r="W403" s="247">
        <f>IF(ISNA(V403),VLOOKUP(E403,категория!A$42:C$74,3,),6.94+R403*8.333/VLOOKUP(V403,категория!A$42:C$74,2,))</f>
        <v>4.17</v>
      </c>
    </row>
    <row r="404" spans="1:23" ht="15.75">
      <c r="A404" s="277">
        <v>43847.465277777781</v>
      </c>
      <c r="B404" s="277">
        <v>43847.479166666664</v>
      </c>
      <c r="C404" s="277">
        <f t="shared" si="20"/>
        <v>1.3888888883229811E-2</v>
      </c>
      <c r="D404" s="278">
        <v>3.472222222222222E-3</v>
      </c>
      <c r="E404" s="329" t="s">
        <v>24</v>
      </c>
      <c r="F404" s="330"/>
      <c r="G404" s="330"/>
      <c r="H404" s="330"/>
      <c r="I404" s="330"/>
      <c r="J404" s="330"/>
      <c r="K404" s="330"/>
      <c r="L404" s="330"/>
      <c r="M404" s="330"/>
      <c r="N404" s="330"/>
      <c r="O404" s="330"/>
      <c r="P404" s="330"/>
      <c r="Q404" s="330"/>
      <c r="R404" s="330"/>
      <c r="S404" s="330"/>
      <c r="T404" s="330"/>
      <c r="U404" s="331"/>
      <c r="V404" s="247" t="e">
        <f>VLOOKUP(E404,Лист4!A$2:G$395,7,FALSE)</f>
        <v>#N/A</v>
      </c>
      <c r="W404" s="247">
        <f>IF(ISNA(V404),VLOOKUP(E404,категория!A$42:C$74,3,),6.94+R404*8.333/VLOOKUP(V404,категория!A$42:C$74,2,))</f>
        <v>3.47</v>
      </c>
    </row>
    <row r="405" spans="1:23" ht="48">
      <c r="A405" s="277">
        <v>43847.479166666664</v>
      </c>
      <c r="B405" s="277">
        <v>43847.506944444445</v>
      </c>
      <c r="C405" s="277">
        <f t="shared" si="20"/>
        <v>2.7777777781011537E-2</v>
      </c>
      <c r="D405" s="278">
        <v>2.7777777777777776E-2</v>
      </c>
      <c r="E405" s="279">
        <v>94</v>
      </c>
      <c r="F405" s="280" t="s">
        <v>257</v>
      </c>
      <c r="G405" s="280" t="s">
        <v>494</v>
      </c>
      <c r="H405" s="281" t="s">
        <v>273</v>
      </c>
      <c r="I405" s="282">
        <v>43854</v>
      </c>
      <c r="J405" s="283"/>
      <c r="K405" s="279" t="s">
        <v>256</v>
      </c>
      <c r="L405" s="284" t="s">
        <v>232</v>
      </c>
      <c r="M405" s="285"/>
      <c r="N405" s="280" t="s">
        <v>35</v>
      </c>
      <c r="O405" s="279">
        <v>250</v>
      </c>
      <c r="P405" s="279" t="s">
        <v>334</v>
      </c>
      <c r="Q405" s="286" t="s">
        <v>241</v>
      </c>
      <c r="R405" s="287">
        <v>1300</v>
      </c>
      <c r="S405" s="287">
        <v>1220</v>
      </c>
      <c r="T405" s="283" t="s">
        <v>232</v>
      </c>
      <c r="U405" s="287" t="s">
        <v>230</v>
      </c>
      <c r="V405" s="247" t="str">
        <f>VLOOKUP(E405,Лист4!A$2:G$395,7,FALSE)</f>
        <v>картон до 250</v>
      </c>
      <c r="W405" s="247">
        <f>IF(ISNA(V405),VLOOKUP(E405,категория!A$42:C$74,3,),6.94/4+R405*8.333/VLOOKUP(V405,категория!A$42:C$74,2,))</f>
        <v>5.0176969696969698</v>
      </c>
    </row>
    <row r="406" spans="1:23" ht="15.75">
      <c r="A406" s="277">
        <v>43847.506944444445</v>
      </c>
      <c r="B406" s="277">
        <v>43847.513888888891</v>
      </c>
      <c r="C406" s="277">
        <f t="shared" si="20"/>
        <v>6.9444444452528842E-3</v>
      </c>
      <c r="D406" s="278">
        <v>1.0416666666666666E-2</v>
      </c>
      <c r="E406" s="329" t="s">
        <v>170</v>
      </c>
      <c r="F406" s="330"/>
      <c r="G406" s="330"/>
      <c r="H406" s="330"/>
      <c r="I406" s="330"/>
      <c r="J406" s="330"/>
      <c r="K406" s="330"/>
      <c r="L406" s="330"/>
      <c r="M406" s="330"/>
      <c r="N406" s="330"/>
      <c r="O406" s="330"/>
      <c r="P406" s="330"/>
      <c r="Q406" s="330"/>
      <c r="R406" s="330"/>
      <c r="S406" s="330"/>
      <c r="T406" s="330"/>
      <c r="U406" s="331"/>
      <c r="V406" s="247" t="e">
        <f>VLOOKUP(E406,Лист4!A$2:G$395,7,FALSE)</f>
        <v>#N/A</v>
      </c>
      <c r="W406" s="247">
        <f>IF(ISNA(V406),VLOOKUP(E406,категория!A$42:C$74,3,),6.94+R406*8.333/VLOOKUP(V406,категория!A$42:C$74,2,))</f>
        <v>2.085</v>
      </c>
    </row>
    <row r="407" spans="1:23" ht="15.75">
      <c r="A407" s="277">
        <v>43847.513888888891</v>
      </c>
      <c r="B407" s="277">
        <v>43847.534722222219</v>
      </c>
      <c r="C407" s="277">
        <f t="shared" si="20"/>
        <v>2.0833333328482695E-2</v>
      </c>
      <c r="D407" s="278">
        <v>2.0833333333333332E-2</v>
      </c>
      <c r="E407" s="329" t="s">
        <v>23</v>
      </c>
      <c r="F407" s="330"/>
      <c r="G407" s="330"/>
      <c r="H407" s="330"/>
      <c r="I407" s="330"/>
      <c r="J407" s="330"/>
      <c r="K407" s="330"/>
      <c r="L407" s="330"/>
      <c r="M407" s="330"/>
      <c r="N407" s="330"/>
      <c r="O407" s="330"/>
      <c r="P407" s="330"/>
      <c r="Q407" s="330"/>
      <c r="R407" s="330"/>
      <c r="S407" s="330"/>
      <c r="T407" s="330"/>
      <c r="U407" s="331"/>
      <c r="V407" s="247" t="e">
        <f>VLOOKUP(E407,Лист4!A$2:G$395,7,FALSE)</f>
        <v>#N/A</v>
      </c>
      <c r="W407" s="247">
        <f>IF(ISNA(V407),VLOOKUP(E407,категория!A$42:C$74,3,),6.94+R407*8.333/VLOOKUP(V407,категория!A$42:C$74,2,))</f>
        <v>2.78</v>
      </c>
    </row>
    <row r="408" spans="1:23" ht="15.75">
      <c r="A408" s="277">
        <v>43847.534722222219</v>
      </c>
      <c r="B408" s="277">
        <v>43847.576388888891</v>
      </c>
      <c r="C408" s="277">
        <f t="shared" si="20"/>
        <v>4.1666666671517305E-2</v>
      </c>
      <c r="D408" s="278">
        <v>0.5</v>
      </c>
      <c r="E408" s="329" t="s">
        <v>10</v>
      </c>
      <c r="F408" s="330"/>
      <c r="G408" s="330"/>
      <c r="H408" s="330"/>
      <c r="I408" s="330"/>
      <c r="J408" s="330"/>
      <c r="K408" s="330"/>
      <c r="L408" s="330"/>
      <c r="M408" s="330"/>
      <c r="N408" s="330"/>
      <c r="O408" s="330"/>
      <c r="P408" s="330"/>
      <c r="Q408" s="330"/>
      <c r="R408" s="330"/>
      <c r="S408" s="330"/>
      <c r="T408" s="330"/>
      <c r="U408" s="331"/>
      <c r="V408" s="247" t="e">
        <f>VLOOKUP(E408,Лист4!A$2:G$395,7,FALSE)</f>
        <v>#N/A</v>
      </c>
      <c r="W408" s="247">
        <f>IF(ISNA(V408),VLOOKUP(E408,категория!A$42:C$74,3,),6.94+R408*8.333/VLOOKUP(V408,категория!A$42:C$74,2,))</f>
        <v>8.3332999999999995</v>
      </c>
    </row>
    <row r="409" spans="1:23" ht="15.75">
      <c r="A409" s="277">
        <v>43847.576388888891</v>
      </c>
      <c r="B409" s="277">
        <v>43847.604166666664</v>
      </c>
      <c r="C409" s="277">
        <f t="shared" si="20"/>
        <v>2.7777777773735579E-2</v>
      </c>
      <c r="D409" s="278">
        <v>3.472222222222222E-3</v>
      </c>
      <c r="E409" s="329" t="s">
        <v>24</v>
      </c>
      <c r="F409" s="330"/>
      <c r="G409" s="330"/>
      <c r="H409" s="330"/>
      <c r="I409" s="330"/>
      <c r="J409" s="330"/>
      <c r="K409" s="330"/>
      <c r="L409" s="330"/>
      <c r="M409" s="330"/>
      <c r="N409" s="330"/>
      <c r="O409" s="330"/>
      <c r="P409" s="330"/>
      <c r="Q409" s="330"/>
      <c r="R409" s="330"/>
      <c r="S409" s="330"/>
      <c r="T409" s="330"/>
      <c r="U409" s="331"/>
      <c r="V409" s="247" t="e">
        <f>VLOOKUP(E409,Лист4!A$2:G$395,7,FALSE)</f>
        <v>#N/A</v>
      </c>
      <c r="W409" s="247">
        <f>IF(ISNA(V409),VLOOKUP(E409,категория!A$42:C$74,3,),6.94+R409*8.333/VLOOKUP(V409,категория!A$42:C$74,2,))</f>
        <v>3.47</v>
      </c>
    </row>
    <row r="410" spans="1:23" ht="60">
      <c r="A410" s="336">
        <v>43847.604166666664</v>
      </c>
      <c r="B410" s="336">
        <v>43847.635416666664</v>
      </c>
      <c r="C410" s="277">
        <f t="shared" si="20"/>
        <v>3.125E-2</v>
      </c>
      <c r="D410" s="338">
        <v>3.125E-2</v>
      </c>
      <c r="E410" s="340">
        <v>93</v>
      </c>
      <c r="F410" s="280" t="s">
        <v>257</v>
      </c>
      <c r="G410" s="280" t="s">
        <v>491</v>
      </c>
      <c r="H410" s="281" t="s">
        <v>292</v>
      </c>
      <c r="I410" s="282">
        <v>43854</v>
      </c>
      <c r="J410" s="283"/>
      <c r="K410" s="279" t="s">
        <v>256</v>
      </c>
      <c r="L410" s="284" t="s">
        <v>232</v>
      </c>
      <c r="M410" s="285"/>
      <c r="N410" s="280" t="s">
        <v>35</v>
      </c>
      <c r="O410" s="279">
        <v>230</v>
      </c>
      <c r="P410" s="279" t="s">
        <v>228</v>
      </c>
      <c r="Q410" s="286" t="s">
        <v>241</v>
      </c>
      <c r="R410" s="287">
        <v>2500</v>
      </c>
      <c r="S410" s="287">
        <v>2981</v>
      </c>
      <c r="T410" s="283" t="s">
        <v>232</v>
      </c>
      <c r="U410" s="287" t="s">
        <v>230</v>
      </c>
      <c r="V410" s="247" t="str">
        <f>VLOOKUP(E410,Лист4!A$2:G$395,7,FALSE)</f>
        <v>картон до 250</v>
      </c>
      <c r="W410" s="247">
        <f>IF(ISNA(V410),VLOOKUP(E410,категория!A$42:C$74,3,),6.94/4+R410*8.333/VLOOKUP(V410,категория!A$42:C$74,2,))</f>
        <v>8.047878787878787</v>
      </c>
    </row>
    <row r="411" spans="1:23">
      <c r="A411" s="337"/>
      <c r="B411" s="337"/>
      <c r="C411" s="277">
        <f t="shared" si="20"/>
        <v>0</v>
      </c>
      <c r="D411" s="339"/>
      <c r="E411" s="341"/>
      <c r="F411" s="342" t="s">
        <v>492</v>
      </c>
      <c r="G411" s="343"/>
      <c r="H411" s="343"/>
      <c r="I411" s="343"/>
      <c r="J411" s="343"/>
      <c r="K411" s="343"/>
      <c r="L411" s="343"/>
      <c r="M411" s="343"/>
      <c r="N411" s="343"/>
      <c r="O411" s="343"/>
      <c r="P411" s="343"/>
      <c r="Q411" s="343"/>
      <c r="R411" s="343"/>
      <c r="S411" s="343"/>
      <c r="T411" s="343"/>
      <c r="U411" s="344"/>
      <c r="V411" s="247" t="e">
        <f>VLOOKUP(E411,Лист4!A$2:G$395,7,FALSE)</f>
        <v>#N/A</v>
      </c>
      <c r="W411" s="247">
        <v>0</v>
      </c>
    </row>
    <row r="412" spans="1:23" ht="15.75">
      <c r="A412" s="277">
        <v>43847.635416666664</v>
      </c>
      <c r="B412" s="277">
        <v>43847.642361111109</v>
      </c>
      <c r="C412" s="277">
        <f t="shared" si="20"/>
        <v>6.9444444452528842E-3</v>
      </c>
      <c r="D412" s="278">
        <v>1.0416666666666666E-2</v>
      </c>
      <c r="E412" s="329" t="s">
        <v>170</v>
      </c>
      <c r="F412" s="330"/>
      <c r="G412" s="330"/>
      <c r="H412" s="330"/>
      <c r="I412" s="330"/>
      <c r="J412" s="330"/>
      <c r="K412" s="330"/>
      <c r="L412" s="330"/>
      <c r="M412" s="330"/>
      <c r="N412" s="330"/>
      <c r="O412" s="330"/>
      <c r="P412" s="330"/>
      <c r="Q412" s="330"/>
      <c r="R412" s="330"/>
      <c r="S412" s="330"/>
      <c r="T412" s="330"/>
      <c r="U412" s="331"/>
      <c r="V412" s="247" t="e">
        <f>VLOOKUP(E412,Лист4!A$2:G$395,7,FALSE)</f>
        <v>#N/A</v>
      </c>
      <c r="W412" s="247">
        <f>IF(ISNA(V412),VLOOKUP(E412,категория!A$42:C$74,3,),6.94+R412*8.333/VLOOKUP(V412,категория!A$42:C$74,2,))</f>
        <v>2.085</v>
      </c>
    </row>
    <row r="413" spans="1:23" ht="60">
      <c r="A413" s="277">
        <v>43847.642361111109</v>
      </c>
      <c r="B413" s="277">
        <v>43847.666666666664</v>
      </c>
      <c r="C413" s="277">
        <f t="shared" si="20"/>
        <v>2.4305555554747116E-2</v>
      </c>
      <c r="D413" s="278">
        <v>2.4305555555555556E-2</v>
      </c>
      <c r="E413" s="279">
        <v>93</v>
      </c>
      <c r="F413" s="280" t="s">
        <v>257</v>
      </c>
      <c r="G413" s="280" t="s">
        <v>491</v>
      </c>
      <c r="H413" s="281" t="s">
        <v>293</v>
      </c>
      <c r="I413" s="282">
        <v>43854</v>
      </c>
      <c r="J413" s="283"/>
      <c r="K413" s="279" t="s">
        <v>256</v>
      </c>
      <c r="L413" s="284" t="s">
        <v>232</v>
      </c>
      <c r="M413" s="285"/>
      <c r="N413" s="280" t="s">
        <v>35</v>
      </c>
      <c r="O413" s="279">
        <v>230</v>
      </c>
      <c r="P413" s="279" t="s">
        <v>228</v>
      </c>
      <c r="Q413" s="286" t="s">
        <v>241</v>
      </c>
      <c r="R413" s="287">
        <v>3060</v>
      </c>
      <c r="S413" s="287">
        <v>2319</v>
      </c>
      <c r="T413" s="283" t="s">
        <v>232</v>
      </c>
      <c r="U413" s="287" t="s">
        <v>230</v>
      </c>
      <c r="V413" s="247" t="str">
        <f>VLOOKUP(E413,Лист4!A$2:G$395,7,FALSE)</f>
        <v>картон до 250</v>
      </c>
      <c r="W413" s="247">
        <f>IF(ISNA(V413),VLOOKUP(E413,категория!A$42:C$74,3,),R413*8.333/VLOOKUP(V413,категория!A$42:C$74,2,))</f>
        <v>7.726963636363636</v>
      </c>
    </row>
    <row r="414" spans="1:23" ht="15.75">
      <c r="A414" s="277">
        <v>43847.666666666664</v>
      </c>
      <c r="B414" s="277">
        <v>43847.673611111109</v>
      </c>
      <c r="C414" s="277">
        <f t="shared" si="20"/>
        <v>6.9444444452528842E-3</v>
      </c>
      <c r="D414" s="278">
        <v>1.0416666666666666E-2</v>
      </c>
      <c r="E414" s="329" t="s">
        <v>170</v>
      </c>
      <c r="F414" s="330"/>
      <c r="G414" s="330"/>
      <c r="H414" s="330"/>
      <c r="I414" s="330"/>
      <c r="J414" s="330"/>
      <c r="K414" s="330"/>
      <c r="L414" s="330"/>
      <c r="M414" s="330"/>
      <c r="N414" s="330"/>
      <c r="O414" s="330"/>
      <c r="P414" s="330"/>
      <c r="Q414" s="330"/>
      <c r="R414" s="330"/>
      <c r="S414" s="330"/>
      <c r="T414" s="330"/>
      <c r="U414" s="331"/>
      <c r="V414" s="247" t="e">
        <f>VLOOKUP(E414,Лист4!A$2:G$395,7,FALSE)</f>
        <v>#N/A</v>
      </c>
      <c r="W414" s="247">
        <f>IF(ISNA(V414),VLOOKUP(E414,категория!A$42:C$74,3,),6.94+R414*8.333/VLOOKUP(V414,категория!A$42:C$74,2,))</f>
        <v>2.085</v>
      </c>
    </row>
    <row r="415" spans="1:23" ht="33" customHeight="1">
      <c r="A415" s="277">
        <v>43847.673611111109</v>
      </c>
      <c r="B415" s="277">
        <v>43847.690972222219</v>
      </c>
      <c r="C415" s="277">
        <f t="shared" si="20"/>
        <v>1.7361111109494232E-2</v>
      </c>
      <c r="D415" s="278">
        <v>1.7361111111111112E-2</v>
      </c>
      <c r="E415" s="329" t="s">
        <v>3</v>
      </c>
      <c r="F415" s="330"/>
      <c r="G415" s="330"/>
      <c r="H415" s="330"/>
      <c r="I415" s="330"/>
      <c r="J415" s="330"/>
      <c r="K415" s="330"/>
      <c r="L415" s="330"/>
      <c r="M415" s="330"/>
      <c r="N415" s="330"/>
      <c r="O415" s="330"/>
      <c r="P415" s="330"/>
      <c r="Q415" s="330"/>
      <c r="R415" s="330"/>
      <c r="S415" s="330"/>
      <c r="T415" s="330"/>
      <c r="U415" s="331"/>
      <c r="V415" s="247" t="e">
        <f>VLOOKUP(E415,Лист4!A$2:G$395,7,FALSE)</f>
        <v>#N/A</v>
      </c>
      <c r="W415" s="247">
        <f>IF(ISNA(V415),VLOOKUP(E415,категория!A$42:C$74,3,),6.94+R415*8.333/VLOOKUP(V415,категория!A$42:C$74,2,))</f>
        <v>4.17</v>
      </c>
    </row>
    <row r="416" spans="1:23" ht="15.75">
      <c r="A416" s="277">
        <v>43847.690972222219</v>
      </c>
      <c r="B416" s="277">
        <v>43847.708333333336</v>
      </c>
      <c r="C416" s="277">
        <f t="shared" si="20"/>
        <v>1.7361111116770189E-2</v>
      </c>
      <c r="D416" s="278">
        <v>1.7361111111111112E-2</v>
      </c>
      <c r="E416" s="329" t="s">
        <v>3</v>
      </c>
      <c r="F416" s="330"/>
      <c r="G416" s="330"/>
      <c r="H416" s="330"/>
      <c r="I416" s="330"/>
      <c r="J416" s="330"/>
      <c r="K416" s="330"/>
      <c r="L416" s="330"/>
      <c r="M416" s="330"/>
      <c r="N416" s="330"/>
      <c r="O416" s="330"/>
      <c r="P416" s="330"/>
      <c r="Q416" s="330"/>
      <c r="R416" s="330"/>
      <c r="S416" s="330"/>
      <c r="T416" s="330"/>
      <c r="U416" s="331"/>
      <c r="V416" s="247" t="e">
        <f>VLOOKUP(E416,Лист4!A$2:G$395,7,FALSE)</f>
        <v>#N/A</v>
      </c>
      <c r="W416" s="247">
        <f>IF(ISNA(V416),VLOOKUP(E416,категория!A$42:C$74,3,),6.94+R416*8.333/VLOOKUP(V416,категория!A$42:C$74,2,))</f>
        <v>4.17</v>
      </c>
    </row>
    <row r="417" spans="1:23" ht="15.75">
      <c r="A417" s="277">
        <v>43847.708333333336</v>
      </c>
      <c r="B417" s="277">
        <v>43847.729166666664</v>
      </c>
      <c r="C417" s="277">
        <f t="shared" si="20"/>
        <v>2.0833333328482695E-2</v>
      </c>
      <c r="D417" s="278">
        <v>4.1666666666666664E-2</v>
      </c>
      <c r="E417" s="329" t="s">
        <v>28</v>
      </c>
      <c r="F417" s="330"/>
      <c r="G417" s="330"/>
      <c r="H417" s="330"/>
      <c r="I417" s="330"/>
      <c r="J417" s="330"/>
      <c r="K417" s="330"/>
      <c r="L417" s="330"/>
      <c r="M417" s="330"/>
      <c r="N417" s="330"/>
      <c r="O417" s="330"/>
      <c r="P417" s="330"/>
      <c r="Q417" s="330"/>
      <c r="R417" s="330"/>
      <c r="S417" s="330"/>
      <c r="T417" s="330"/>
      <c r="U417" s="331"/>
      <c r="V417" s="247" t="e">
        <f>VLOOKUP(E417,Лист4!A$2:G$395,7,FALSE)</f>
        <v>#N/A</v>
      </c>
      <c r="W417" s="247">
        <f>IF(ISNA(V417),VLOOKUP(E417,категория!A$42:C$74,3,),6.94+R417*8.333/VLOOKUP(V417,категория!A$42:C$74,2,))*0.5</f>
        <v>4.1666499999999997</v>
      </c>
    </row>
    <row r="418" spans="1:23" ht="120">
      <c r="A418" s="277">
        <v>43847.729166666664</v>
      </c>
      <c r="B418" s="277">
        <v>43847.756944444445</v>
      </c>
      <c r="C418" s="277">
        <f t="shared" si="20"/>
        <v>2.7777777781011537E-2</v>
      </c>
      <c r="D418" s="278">
        <v>2.7777777777777776E-2</v>
      </c>
      <c r="E418" s="279">
        <v>117</v>
      </c>
      <c r="F418" s="280" t="s">
        <v>284</v>
      </c>
      <c r="G418" s="280" t="s">
        <v>495</v>
      </c>
      <c r="H418" s="281" t="s">
        <v>226</v>
      </c>
      <c r="I418" s="282">
        <v>43852</v>
      </c>
      <c r="J418" s="283"/>
      <c r="K418" s="279" t="s">
        <v>227</v>
      </c>
      <c r="L418" s="284"/>
      <c r="M418" s="285"/>
      <c r="N418" s="280" t="s">
        <v>35</v>
      </c>
      <c r="O418" s="279">
        <v>270</v>
      </c>
      <c r="P418" s="279" t="s">
        <v>272</v>
      </c>
      <c r="Q418" s="286" t="s">
        <v>229</v>
      </c>
      <c r="R418" s="287">
        <v>190</v>
      </c>
      <c r="S418" s="287">
        <v>425</v>
      </c>
      <c r="T418" s="283" t="s">
        <v>232</v>
      </c>
      <c r="U418" s="287" t="s">
        <v>230</v>
      </c>
      <c r="V418" s="247" t="str">
        <f>VLOOKUP(E418,Лист4!A$2:G$395,7,FALSE)</f>
        <v>картон от 270</v>
      </c>
      <c r="W418" s="247">
        <f>IF(ISNA(V418),VLOOKUP(E418,категория!A$42:C$74,3,),6.94+R418*8.333/VLOOKUP(V418,категория!A$42:C$74,2,))</f>
        <v>7.4859551724137932</v>
      </c>
    </row>
    <row r="419" spans="1:23" ht="15.75">
      <c r="A419" s="277">
        <v>43847.756944444445</v>
      </c>
      <c r="B419" s="277">
        <v>43847.763888888891</v>
      </c>
      <c r="C419" s="277">
        <f t="shared" si="20"/>
        <v>6.9444444452528842E-3</v>
      </c>
      <c r="D419" s="278">
        <v>1.0416666666666666E-2</v>
      </c>
      <c r="E419" s="329" t="s">
        <v>170</v>
      </c>
      <c r="F419" s="330"/>
      <c r="G419" s="330"/>
      <c r="H419" s="330"/>
      <c r="I419" s="330"/>
      <c r="J419" s="330"/>
      <c r="K419" s="330"/>
      <c r="L419" s="330"/>
      <c r="M419" s="330"/>
      <c r="N419" s="330"/>
      <c r="O419" s="330"/>
      <c r="P419" s="330"/>
      <c r="Q419" s="330"/>
      <c r="R419" s="330"/>
      <c r="S419" s="330"/>
      <c r="T419" s="330"/>
      <c r="U419" s="331"/>
      <c r="V419" s="247" t="e">
        <f>VLOOKUP(E419,Лист4!A$2:G$395,7,FALSE)</f>
        <v>#N/A</v>
      </c>
      <c r="W419" s="247">
        <f>IF(ISNA(V419),VLOOKUP(E419,категория!A$42:C$74,3,),6.94+R419*8.333/VLOOKUP(V419,категория!A$42:C$74,2,))</f>
        <v>2.085</v>
      </c>
    </row>
    <row r="420" spans="1:23" ht="35.25" customHeight="1">
      <c r="A420" s="277">
        <v>43847.763888888891</v>
      </c>
      <c r="B420" s="277">
        <v>43847.78125</v>
      </c>
      <c r="C420" s="277">
        <f t="shared" si="20"/>
        <v>1.7361111109494232E-2</v>
      </c>
      <c r="D420" s="278">
        <v>1.7361111111111112E-2</v>
      </c>
      <c r="E420" s="329" t="s">
        <v>3</v>
      </c>
      <c r="F420" s="330"/>
      <c r="G420" s="330"/>
      <c r="H420" s="330"/>
      <c r="I420" s="330"/>
      <c r="J420" s="330"/>
      <c r="K420" s="330"/>
      <c r="L420" s="330"/>
      <c r="M420" s="330"/>
      <c r="N420" s="330"/>
      <c r="O420" s="330"/>
      <c r="P420" s="330"/>
      <c r="Q420" s="330"/>
      <c r="R420" s="330"/>
      <c r="S420" s="330"/>
      <c r="T420" s="330"/>
      <c r="U420" s="331"/>
      <c r="V420" s="247" t="e">
        <f>VLOOKUP(E420,Лист4!A$2:G$395,7,FALSE)</f>
        <v>#N/A</v>
      </c>
      <c r="W420" s="247">
        <f>IF(ISNA(V420),VLOOKUP(E420,категория!A$42:C$74,3,),6.94+R420*8.333/VLOOKUP(V420,категория!A$42:C$74,2,))</f>
        <v>4.17</v>
      </c>
    </row>
    <row r="421" spans="1:23" ht="15.75">
      <c r="A421" s="277">
        <v>43847.78125</v>
      </c>
      <c r="B421" s="277">
        <v>43847.802083333336</v>
      </c>
      <c r="C421" s="277">
        <f t="shared" si="20"/>
        <v>2.0833333335758653E-2</v>
      </c>
      <c r="D421" s="278">
        <v>2.0833333333333332E-2</v>
      </c>
      <c r="E421" s="329" t="s">
        <v>8</v>
      </c>
      <c r="F421" s="330"/>
      <c r="G421" s="330"/>
      <c r="H421" s="330"/>
      <c r="I421" s="330"/>
      <c r="J421" s="330"/>
      <c r="K421" s="330"/>
      <c r="L421" s="330"/>
      <c r="M421" s="330"/>
      <c r="N421" s="330"/>
      <c r="O421" s="330"/>
      <c r="P421" s="330"/>
      <c r="Q421" s="330"/>
      <c r="R421" s="330"/>
      <c r="S421" s="330"/>
      <c r="T421" s="330"/>
      <c r="U421" s="331"/>
      <c r="V421" s="247" t="e">
        <f>VLOOKUP(E421,Лист4!A$2:G$395,7,FALSE)</f>
        <v>#N/A</v>
      </c>
      <c r="W421" s="247">
        <f>IF(ISNA(V421),VLOOKUP(E421,категория!A$42:C$74,3,),6.94+R421*8.333/VLOOKUP(V421,категория!A$42:C$74,2,))</f>
        <v>4.17</v>
      </c>
    </row>
    <row r="422" spans="1:23" ht="15.75">
      <c r="A422" s="277">
        <v>43847.802083333336</v>
      </c>
      <c r="B422" s="277">
        <v>43847.833333333336</v>
      </c>
      <c r="C422" s="277">
        <f t="shared" si="20"/>
        <v>3.125E-2</v>
      </c>
      <c r="D422" s="278">
        <v>4.1666666666666664E-2</v>
      </c>
      <c r="E422" s="329" t="s">
        <v>7</v>
      </c>
      <c r="F422" s="330"/>
      <c r="G422" s="330"/>
      <c r="H422" s="330"/>
      <c r="I422" s="330"/>
      <c r="J422" s="330"/>
      <c r="K422" s="330"/>
      <c r="L422" s="330"/>
      <c r="M422" s="330"/>
      <c r="N422" s="330"/>
      <c r="O422" s="330"/>
      <c r="P422" s="330"/>
      <c r="Q422" s="330"/>
      <c r="R422" s="330"/>
      <c r="S422" s="330"/>
      <c r="T422" s="330"/>
      <c r="U422" s="331"/>
      <c r="V422" s="247" t="e">
        <f>VLOOKUP(E422,Лист4!A$2:G$395,7,FALSE)</f>
        <v>#N/A</v>
      </c>
      <c r="W422" s="247">
        <f>IF(ISNA(V422),VLOOKUP(E422,категория!A$42:C$74,3,),6.94+R422*8.333/VLOOKUP(V422,категория!A$42:C$74,2,))*0.75</f>
        <v>6.2499749999999992</v>
      </c>
    </row>
    <row r="423" spans="1:23" ht="15.75">
      <c r="A423" s="288">
        <v>43847.833333333336</v>
      </c>
      <c r="B423" s="332" t="s">
        <v>496</v>
      </c>
      <c r="C423" s="333"/>
      <c r="D423" s="334"/>
      <c r="E423" s="334"/>
      <c r="F423" s="334"/>
      <c r="G423" s="334"/>
      <c r="H423" s="334"/>
      <c r="I423" s="334"/>
      <c r="J423" s="334"/>
      <c r="K423" s="334"/>
      <c r="L423" s="334"/>
      <c r="M423" s="334"/>
      <c r="N423" s="334"/>
      <c r="O423" s="334"/>
      <c r="P423" s="334"/>
      <c r="Q423" s="334"/>
      <c r="R423" s="334"/>
      <c r="S423" s="334"/>
      <c r="T423" s="334"/>
      <c r="U423" s="335"/>
      <c r="V423" s="247" t="e">
        <f>VLOOKUP(E423,Лист4!A$2:G$395,7,FALSE)</f>
        <v>#N/A</v>
      </c>
      <c r="W423" s="52">
        <f>SUM(W398:W422)</f>
        <v>117.13067411180774</v>
      </c>
    </row>
    <row r="424" spans="1:23" ht="15.75">
      <c r="A424" s="277">
        <v>43847.833333333336</v>
      </c>
      <c r="B424" s="277">
        <v>43847.854166666664</v>
      </c>
      <c r="C424" s="277">
        <f>B424-A424</f>
        <v>2.0833333328482695E-2</v>
      </c>
      <c r="D424" s="278">
        <v>2.0833333333333332E-2</v>
      </c>
      <c r="E424" s="329" t="s">
        <v>22</v>
      </c>
      <c r="F424" s="330"/>
      <c r="G424" s="330"/>
      <c r="H424" s="330"/>
      <c r="I424" s="330"/>
      <c r="J424" s="330"/>
      <c r="K424" s="330"/>
      <c r="L424" s="330"/>
      <c r="M424" s="330"/>
      <c r="N424" s="330"/>
      <c r="O424" s="330"/>
      <c r="P424" s="330"/>
      <c r="Q424" s="330"/>
      <c r="R424" s="330"/>
      <c r="S424" s="330"/>
      <c r="T424" s="330"/>
      <c r="U424" s="331"/>
      <c r="V424" s="247" t="e">
        <f>VLOOKUP(E424,Лист4!A$2:G$395,7,FALSE)</f>
        <v>#N/A</v>
      </c>
      <c r="W424" s="247">
        <f>IF(ISNA(V424),VLOOKUP(E424,категория!A$42:C$74,3,),6.94+R424*8.333/VLOOKUP(V424,категория!A$42:C$74,2,))</f>
        <v>4.17</v>
      </c>
    </row>
    <row r="425" spans="1:23" ht="15.75">
      <c r="A425" s="277">
        <v>43847.854166666664</v>
      </c>
      <c r="B425" s="277">
        <v>43847.864583333336</v>
      </c>
      <c r="C425" s="277">
        <f t="shared" ref="C425:C447" si="21">B425-A425</f>
        <v>1.0416666671517305E-2</v>
      </c>
      <c r="D425" s="278">
        <v>2.0833333333333332E-2</v>
      </c>
      <c r="E425" s="329" t="s">
        <v>8</v>
      </c>
      <c r="F425" s="330"/>
      <c r="G425" s="330"/>
      <c r="H425" s="330"/>
      <c r="I425" s="330"/>
      <c r="J425" s="330"/>
      <c r="K425" s="330"/>
      <c r="L425" s="330"/>
      <c r="M425" s="330"/>
      <c r="N425" s="330"/>
      <c r="O425" s="330"/>
      <c r="P425" s="330"/>
      <c r="Q425" s="330"/>
      <c r="R425" s="330"/>
      <c r="S425" s="330"/>
      <c r="T425" s="330"/>
      <c r="U425" s="331"/>
      <c r="V425" s="247" t="e">
        <f>VLOOKUP(E425,Лист4!A$2:G$395,7,FALSE)</f>
        <v>#N/A</v>
      </c>
      <c r="W425" s="247">
        <f>IF(ISNA(V425),VLOOKUP(E425,категория!A$42:C$74,3,),6.94+R425*8.333/VLOOKUP(V425,категория!A$42:C$74,2,))</f>
        <v>4.17</v>
      </c>
    </row>
    <row r="426" spans="1:23" ht="120">
      <c r="A426" s="277">
        <v>43847.864583333336</v>
      </c>
      <c r="B426" s="277">
        <v>43847.878472222219</v>
      </c>
      <c r="C426" s="277">
        <f t="shared" si="21"/>
        <v>1.3888888883229811E-2</v>
      </c>
      <c r="D426" s="278">
        <v>1.3888888888888888E-2</v>
      </c>
      <c r="E426" s="279">
        <v>117</v>
      </c>
      <c r="F426" s="280" t="s">
        <v>284</v>
      </c>
      <c r="G426" s="280" t="s">
        <v>495</v>
      </c>
      <c r="H426" s="281" t="s">
        <v>273</v>
      </c>
      <c r="I426" s="282">
        <v>43852</v>
      </c>
      <c r="J426" s="283"/>
      <c r="K426" s="279" t="s">
        <v>256</v>
      </c>
      <c r="L426" s="284" t="s">
        <v>232</v>
      </c>
      <c r="M426" s="285"/>
      <c r="N426" s="280" t="s">
        <v>35</v>
      </c>
      <c r="O426" s="279">
        <v>0</v>
      </c>
      <c r="P426" s="279" t="s">
        <v>272</v>
      </c>
      <c r="Q426" s="286" t="s">
        <v>241</v>
      </c>
      <c r="R426" s="287">
        <v>260</v>
      </c>
      <c r="S426" s="287">
        <v>156</v>
      </c>
      <c r="T426" s="283" t="s">
        <v>232</v>
      </c>
      <c r="U426" s="287" t="s">
        <v>77</v>
      </c>
      <c r="V426" s="247" t="str">
        <f>VLOOKUP(E426,Лист4!A$2:G$395,7,FALSE)</f>
        <v>картон от 270</v>
      </c>
      <c r="W426" s="247">
        <f>IF(ISNA(V426),VLOOKUP(E426,категория!A$42:C$74,3,),6.94+R426*8.333/VLOOKUP(V426,категория!A$42:C$74,2,))</f>
        <v>7.6870965517241387</v>
      </c>
    </row>
    <row r="427" spans="1:23" ht="15.75">
      <c r="A427" s="277">
        <v>43847.878472222219</v>
      </c>
      <c r="B427" s="277">
        <v>43847.885416666664</v>
      </c>
      <c r="C427" s="277">
        <f t="shared" si="21"/>
        <v>6.9444444452528842E-3</v>
      </c>
      <c r="D427" s="278">
        <v>1.0416666666666666E-2</v>
      </c>
      <c r="E427" s="329" t="s">
        <v>170</v>
      </c>
      <c r="F427" s="330"/>
      <c r="G427" s="330"/>
      <c r="H427" s="330"/>
      <c r="I427" s="330"/>
      <c r="J427" s="330"/>
      <c r="K427" s="330"/>
      <c r="L427" s="330"/>
      <c r="M427" s="330"/>
      <c r="N427" s="330"/>
      <c r="O427" s="330"/>
      <c r="P427" s="330"/>
      <c r="Q427" s="330"/>
      <c r="R427" s="330"/>
      <c r="S427" s="330"/>
      <c r="T427" s="330"/>
      <c r="U427" s="331"/>
      <c r="V427" s="247" t="e">
        <f>VLOOKUP(E427,Лист4!A$2:G$395,7,FALSE)</f>
        <v>#N/A</v>
      </c>
      <c r="W427" s="247">
        <f>IF(ISNA(V427),VLOOKUP(E427,категория!A$42:C$74,3,),6.94+R427*8.333/VLOOKUP(V427,категория!A$42:C$74,2,))</f>
        <v>2.085</v>
      </c>
    </row>
    <row r="428" spans="1:23" ht="15.75">
      <c r="A428" s="277">
        <v>43847.885416666664</v>
      </c>
      <c r="B428" s="277">
        <v>43847.90625</v>
      </c>
      <c r="C428" s="277">
        <f t="shared" si="21"/>
        <v>2.0833333335758653E-2</v>
      </c>
      <c r="D428" s="278">
        <v>1.7361111111111112E-2</v>
      </c>
      <c r="E428" s="329" t="s">
        <v>3</v>
      </c>
      <c r="F428" s="330"/>
      <c r="G428" s="330"/>
      <c r="H428" s="330"/>
      <c r="I428" s="330"/>
      <c r="J428" s="330"/>
      <c r="K428" s="330"/>
      <c r="L428" s="330"/>
      <c r="M428" s="330"/>
      <c r="N428" s="330"/>
      <c r="O428" s="330"/>
      <c r="P428" s="330"/>
      <c r="Q428" s="330"/>
      <c r="R428" s="330"/>
      <c r="S428" s="330"/>
      <c r="T428" s="330"/>
      <c r="U428" s="331"/>
      <c r="V428" s="247" t="e">
        <f>VLOOKUP(E428,Лист4!A$2:G$395,7,FALSE)</f>
        <v>#N/A</v>
      </c>
      <c r="W428" s="247">
        <f>IF(ISNA(V428),VLOOKUP(E428,категория!A$42:C$74,3,),6.94+R428*8.333/VLOOKUP(V428,категория!A$42:C$74,2,))</f>
        <v>4.17</v>
      </c>
    </row>
    <row r="429" spans="1:23" ht="15.75">
      <c r="A429" s="277">
        <v>43847.90625</v>
      </c>
      <c r="B429" s="277">
        <v>43847.916666666664</v>
      </c>
      <c r="C429" s="277">
        <f t="shared" si="21"/>
        <v>1.0416666664241347E-2</v>
      </c>
      <c r="D429" s="278">
        <v>2.0833333333333332E-2</v>
      </c>
      <c r="E429" s="329" t="s">
        <v>8</v>
      </c>
      <c r="F429" s="330"/>
      <c r="G429" s="330"/>
      <c r="H429" s="330"/>
      <c r="I429" s="330"/>
      <c r="J429" s="330"/>
      <c r="K429" s="330"/>
      <c r="L429" s="330"/>
      <c r="M429" s="330"/>
      <c r="N429" s="330"/>
      <c r="O429" s="330"/>
      <c r="P429" s="330"/>
      <c r="Q429" s="330"/>
      <c r="R429" s="330"/>
      <c r="S429" s="330"/>
      <c r="T429" s="330"/>
      <c r="U429" s="331"/>
      <c r="V429" s="247" t="e">
        <f>VLOOKUP(E429,Лист4!A$2:G$395,7,FALSE)</f>
        <v>#N/A</v>
      </c>
      <c r="W429" s="247">
        <f>IF(ISNA(V429),VLOOKUP(E429,категория!A$42:C$74,3,),6.94+R429*8.333/VLOOKUP(V429,категория!A$42:C$74,2,))</f>
        <v>4.17</v>
      </c>
    </row>
    <row r="430" spans="1:23" ht="15.75">
      <c r="A430" s="277">
        <v>43847.916666666664</v>
      </c>
      <c r="B430" s="277">
        <v>43847.972222222219</v>
      </c>
      <c r="C430" s="277">
        <f t="shared" si="21"/>
        <v>5.5555555554747116E-2</v>
      </c>
      <c r="D430" s="278">
        <v>3.472222222222222E-3</v>
      </c>
      <c r="E430" s="329" t="s">
        <v>327</v>
      </c>
      <c r="F430" s="330"/>
      <c r="G430" s="330"/>
      <c r="H430" s="330"/>
      <c r="I430" s="330"/>
      <c r="J430" s="330"/>
      <c r="K430" s="330"/>
      <c r="L430" s="330"/>
      <c r="M430" s="330"/>
      <c r="N430" s="330"/>
      <c r="O430" s="330"/>
      <c r="P430" s="330"/>
      <c r="Q430" s="330"/>
      <c r="R430" s="330"/>
      <c r="S430" s="330"/>
      <c r="T430" s="330"/>
      <c r="U430" s="331"/>
      <c r="V430" s="247" t="e">
        <f>VLOOKUP(E430,Лист4!A$2:G$395,7,FALSE)</f>
        <v>#N/A</v>
      </c>
      <c r="W430" s="247">
        <f>8.33*1.333</f>
        <v>11.10389</v>
      </c>
    </row>
    <row r="431" spans="1:23" ht="15.75">
      <c r="A431" s="277">
        <v>43847.972222222219</v>
      </c>
      <c r="B431" s="277">
        <v>43847.993055555555</v>
      </c>
      <c r="C431" s="277">
        <f t="shared" si="21"/>
        <v>2.0833333335758653E-2</v>
      </c>
      <c r="D431" s="278">
        <v>3.472222222222222E-3</v>
      </c>
      <c r="E431" s="329" t="s">
        <v>24</v>
      </c>
      <c r="F431" s="330"/>
      <c r="G431" s="330"/>
      <c r="H431" s="330"/>
      <c r="I431" s="330"/>
      <c r="J431" s="330"/>
      <c r="K431" s="330"/>
      <c r="L431" s="330"/>
      <c r="M431" s="330"/>
      <c r="N431" s="330"/>
      <c r="O431" s="330"/>
      <c r="P431" s="330"/>
      <c r="Q431" s="330"/>
      <c r="R431" s="330"/>
      <c r="S431" s="330"/>
      <c r="T431" s="330"/>
      <c r="U431" s="331"/>
      <c r="V431" s="247" t="e">
        <f>VLOOKUP(E431,Лист4!A$2:G$395,7,FALSE)</f>
        <v>#N/A</v>
      </c>
      <c r="W431" s="247">
        <f>IF(ISNA(V431),VLOOKUP(E431,категория!A$42:C$74,3,),6.94+R431*8.333/VLOOKUP(V431,категория!A$42:C$74,2,))</f>
        <v>3.47</v>
      </c>
    </row>
    <row r="432" spans="1:23" ht="15.75">
      <c r="A432" s="277">
        <v>43847.993055555555</v>
      </c>
      <c r="B432" s="277">
        <v>43848.013888888891</v>
      </c>
      <c r="C432" s="277">
        <f t="shared" si="21"/>
        <v>2.0833333335758653E-2</v>
      </c>
      <c r="D432" s="278">
        <v>4.1666666666666664E-2</v>
      </c>
      <c r="E432" s="329" t="s">
        <v>28</v>
      </c>
      <c r="F432" s="330"/>
      <c r="G432" s="330"/>
      <c r="H432" s="330"/>
      <c r="I432" s="330"/>
      <c r="J432" s="330"/>
      <c r="K432" s="330"/>
      <c r="L432" s="330"/>
      <c r="M432" s="330"/>
      <c r="N432" s="330"/>
      <c r="O432" s="330"/>
      <c r="P432" s="330"/>
      <c r="Q432" s="330"/>
      <c r="R432" s="330"/>
      <c r="S432" s="330"/>
      <c r="T432" s="330"/>
      <c r="U432" s="331"/>
      <c r="V432" s="247" t="e">
        <f>VLOOKUP(E432,Лист4!A$2:G$395,7,FALSE)</f>
        <v>#N/A</v>
      </c>
      <c r="W432" s="247">
        <f>IF(ISNA(V432),VLOOKUP(E432,категория!A$42:C$74,3,),6.94+R432*8.333/VLOOKUP(V432,категория!A$42:C$74,2,))</f>
        <v>8.3332999999999995</v>
      </c>
    </row>
    <row r="433" spans="1:23" ht="36">
      <c r="A433" s="336">
        <v>43848.013888888891</v>
      </c>
      <c r="B433" s="336">
        <v>43848.041666666664</v>
      </c>
      <c r="C433" s="277">
        <f t="shared" si="21"/>
        <v>2.7777777773735579E-2</v>
      </c>
      <c r="D433" s="338">
        <v>2.7777777777777776E-2</v>
      </c>
      <c r="E433" s="340">
        <v>3501</v>
      </c>
      <c r="F433" s="280" t="s">
        <v>497</v>
      </c>
      <c r="G433" s="280" t="s">
        <v>498</v>
      </c>
      <c r="H433" s="281" t="s">
        <v>258</v>
      </c>
      <c r="I433" s="282">
        <v>43854</v>
      </c>
      <c r="J433" s="283"/>
      <c r="K433" s="279" t="s">
        <v>227</v>
      </c>
      <c r="L433" s="284"/>
      <c r="M433" s="285"/>
      <c r="N433" s="280" t="s">
        <v>40</v>
      </c>
      <c r="O433" s="279">
        <v>325</v>
      </c>
      <c r="P433" s="279" t="s">
        <v>342</v>
      </c>
      <c r="Q433" s="286" t="s">
        <v>229</v>
      </c>
      <c r="R433" s="287">
        <v>300</v>
      </c>
      <c r="S433" s="287">
        <v>899</v>
      </c>
      <c r="T433" s="283" t="s">
        <v>232</v>
      </c>
      <c r="U433" s="287" t="s">
        <v>77</v>
      </c>
      <c r="V433" s="247" t="str">
        <f>VLOOKUP(E433,Лист4!A$2:G$395,7,FALSE)</f>
        <v>картон от 270</v>
      </c>
      <c r="W433" s="247">
        <f>IF(ISNA(V433),VLOOKUP(E433,категория!A$42:C$74,3,),6.94+R433*8.333/VLOOKUP(V433,категория!A$42:C$74,2,))</f>
        <v>7.8020344827586214</v>
      </c>
    </row>
    <row r="434" spans="1:23">
      <c r="A434" s="337"/>
      <c r="B434" s="337"/>
      <c r="C434" s="277">
        <f t="shared" si="21"/>
        <v>0</v>
      </c>
      <c r="D434" s="339"/>
      <c r="E434" s="341"/>
      <c r="F434" s="342" t="s">
        <v>499</v>
      </c>
      <c r="G434" s="343"/>
      <c r="H434" s="343"/>
      <c r="I434" s="343"/>
      <c r="J434" s="343"/>
      <c r="K434" s="343"/>
      <c r="L434" s="343"/>
      <c r="M434" s="343"/>
      <c r="N434" s="343"/>
      <c r="O434" s="343"/>
      <c r="P434" s="343"/>
      <c r="Q434" s="343"/>
      <c r="R434" s="343"/>
      <c r="S434" s="343"/>
      <c r="T434" s="343"/>
      <c r="U434" s="344"/>
      <c r="V434" s="247" t="e">
        <f>VLOOKUP(E434,Лист4!A$2:G$395,7,FALSE)</f>
        <v>#N/A</v>
      </c>
      <c r="W434" s="247">
        <v>0</v>
      </c>
    </row>
    <row r="435" spans="1:23" ht="15.75">
      <c r="A435" s="277">
        <v>43848.041666666664</v>
      </c>
      <c r="B435" s="277">
        <v>43848.111111111109</v>
      </c>
      <c r="C435" s="277">
        <f t="shared" si="21"/>
        <v>6.9444444445252884E-2</v>
      </c>
      <c r="D435" s="278">
        <v>4.1666666666666664E-2</v>
      </c>
      <c r="E435" s="329" t="s">
        <v>28</v>
      </c>
      <c r="F435" s="330"/>
      <c r="G435" s="330"/>
      <c r="H435" s="330"/>
      <c r="I435" s="330"/>
      <c r="J435" s="330"/>
      <c r="K435" s="330"/>
      <c r="L435" s="330"/>
      <c r="M435" s="330"/>
      <c r="N435" s="330"/>
      <c r="O435" s="330"/>
      <c r="P435" s="330"/>
      <c r="Q435" s="330"/>
      <c r="R435" s="330"/>
      <c r="S435" s="330"/>
      <c r="T435" s="330"/>
      <c r="U435" s="331"/>
      <c r="V435" s="247" t="e">
        <f>VLOOKUP(E435,Лист4!A$2:G$395,7,FALSE)</f>
        <v>#N/A</v>
      </c>
      <c r="W435" s="247">
        <f>IF(ISNA(V435),VLOOKUP(E435,категория!A$42:C$74,3,),6.94+R435*8.333/VLOOKUP(V435,категория!A$42:C$74,2,))</f>
        <v>8.3332999999999995</v>
      </c>
    </row>
    <row r="436" spans="1:23" ht="36">
      <c r="A436" s="277">
        <v>43848.111111111109</v>
      </c>
      <c r="B436" s="277">
        <v>43848.138888888891</v>
      </c>
      <c r="C436" s="277">
        <f t="shared" si="21"/>
        <v>2.7777777781011537E-2</v>
      </c>
      <c r="D436" s="278">
        <v>2.7777777777777776E-2</v>
      </c>
      <c r="E436" s="279">
        <v>3501</v>
      </c>
      <c r="F436" s="280" t="s">
        <v>497</v>
      </c>
      <c r="G436" s="280" t="s">
        <v>498</v>
      </c>
      <c r="H436" s="281" t="s">
        <v>259</v>
      </c>
      <c r="I436" s="282">
        <v>43854</v>
      </c>
      <c r="J436" s="283"/>
      <c r="K436" s="279" t="s">
        <v>227</v>
      </c>
      <c r="L436" s="284"/>
      <c r="M436" s="285"/>
      <c r="N436" s="280" t="s">
        <v>40</v>
      </c>
      <c r="O436" s="279">
        <v>325</v>
      </c>
      <c r="P436" s="279" t="s">
        <v>342</v>
      </c>
      <c r="Q436" s="286" t="s">
        <v>229</v>
      </c>
      <c r="R436" s="287">
        <v>1300</v>
      </c>
      <c r="S436" s="287">
        <v>899</v>
      </c>
      <c r="T436" s="283" t="s">
        <v>232</v>
      </c>
      <c r="U436" s="287" t="s">
        <v>77</v>
      </c>
      <c r="V436" s="247" t="str">
        <f>VLOOKUP(E436,Лист4!A$2:G$395,7,FALSE)</f>
        <v>картон от 270</v>
      </c>
      <c r="W436" s="247">
        <f>IF(ISNA(V436),VLOOKUP(E436,категория!A$42:C$74,3,),R436*8.333/VLOOKUP(V436,категория!A$42:C$74,2,))</f>
        <v>3.7354827586206896</v>
      </c>
    </row>
    <row r="437" spans="1:23" ht="15.75">
      <c r="A437" s="277">
        <v>43848.138888888891</v>
      </c>
      <c r="B437" s="277">
        <v>43848.145833333336</v>
      </c>
      <c r="C437" s="277">
        <f t="shared" si="21"/>
        <v>6.9444444452528842E-3</v>
      </c>
      <c r="D437" s="278">
        <v>1.0416666666666666E-2</v>
      </c>
      <c r="E437" s="329" t="s">
        <v>170</v>
      </c>
      <c r="F437" s="330"/>
      <c r="G437" s="330"/>
      <c r="H437" s="330"/>
      <c r="I437" s="330"/>
      <c r="J437" s="330"/>
      <c r="K437" s="330"/>
      <c r="L437" s="330"/>
      <c r="M437" s="330"/>
      <c r="N437" s="330"/>
      <c r="O437" s="330"/>
      <c r="P437" s="330"/>
      <c r="Q437" s="330"/>
      <c r="R437" s="330"/>
      <c r="S437" s="330"/>
      <c r="T437" s="330"/>
      <c r="U437" s="331"/>
      <c r="V437" s="247" t="e">
        <f>VLOOKUP(E437,Лист4!A$2:G$395,7,FALSE)</f>
        <v>#N/A</v>
      </c>
      <c r="W437" s="247">
        <f>IF(ISNA(V437),VLOOKUP(E437,категория!A$42:C$74,3,),6.94+R437*8.333/VLOOKUP(V437,категория!A$42:C$74,2,))</f>
        <v>2.085</v>
      </c>
    </row>
    <row r="438" spans="1:23" ht="15.75">
      <c r="A438" s="277">
        <v>43848.145833333336</v>
      </c>
      <c r="B438" s="277">
        <v>43848.159722222219</v>
      </c>
      <c r="C438" s="277">
        <f t="shared" si="21"/>
        <v>1.3888888883229811E-2</v>
      </c>
      <c r="D438" s="278">
        <v>2.0833333333333332E-2</v>
      </c>
      <c r="E438" s="329" t="s">
        <v>23</v>
      </c>
      <c r="F438" s="330"/>
      <c r="G438" s="330"/>
      <c r="H438" s="330"/>
      <c r="I438" s="330"/>
      <c r="J438" s="330"/>
      <c r="K438" s="330"/>
      <c r="L438" s="330"/>
      <c r="M438" s="330"/>
      <c r="N438" s="330"/>
      <c r="O438" s="330"/>
      <c r="P438" s="330"/>
      <c r="Q438" s="330"/>
      <c r="R438" s="330"/>
      <c r="S438" s="330"/>
      <c r="T438" s="330"/>
      <c r="U438" s="331"/>
      <c r="V438" s="247" t="e">
        <f>VLOOKUP(E438,Лист4!A$2:G$395,7,FALSE)</f>
        <v>#N/A</v>
      </c>
      <c r="W438" s="247">
        <f>IF(ISNA(V438),VLOOKUP(E438,категория!A$42:C$74,3,),6.94+R438*8.333/VLOOKUP(V438,категория!A$42:C$74,2,))</f>
        <v>2.78</v>
      </c>
    </row>
    <row r="439" spans="1:23" ht="15.75">
      <c r="A439" s="277">
        <v>43848.159722222219</v>
      </c>
      <c r="B439" s="277">
        <v>43848.180555555555</v>
      </c>
      <c r="C439" s="277">
        <f t="shared" si="21"/>
        <v>2.0833333335758653E-2</v>
      </c>
      <c r="D439" s="278">
        <v>3.472222222222222E-3</v>
      </c>
      <c r="E439" s="329" t="s">
        <v>24</v>
      </c>
      <c r="F439" s="330"/>
      <c r="G439" s="330"/>
      <c r="H439" s="330"/>
      <c r="I439" s="330"/>
      <c r="J439" s="330"/>
      <c r="K439" s="330"/>
      <c r="L439" s="330"/>
      <c r="M439" s="330"/>
      <c r="N439" s="330"/>
      <c r="O439" s="330"/>
      <c r="P439" s="330"/>
      <c r="Q439" s="330"/>
      <c r="R439" s="330"/>
      <c r="S439" s="330"/>
      <c r="T439" s="330"/>
      <c r="U439" s="331"/>
      <c r="V439" s="247" t="e">
        <f>VLOOKUP(E439,Лист4!A$2:G$395,7,FALSE)</f>
        <v>#N/A</v>
      </c>
      <c r="W439" s="247">
        <f>IF(ISNA(V439),VLOOKUP(E439,категория!A$42:C$74,3,),6.94+R439*8.333/VLOOKUP(V439,категория!A$42:C$74,2,))</f>
        <v>3.47</v>
      </c>
    </row>
    <row r="440" spans="1:23" ht="15.75">
      <c r="A440" s="277">
        <v>43848.180555555555</v>
      </c>
      <c r="B440" s="277">
        <v>43848.201388888891</v>
      </c>
      <c r="C440" s="277">
        <f t="shared" si="21"/>
        <v>2.0833333335758653E-2</v>
      </c>
      <c r="D440" s="278">
        <v>3.472222222222222E-3</v>
      </c>
      <c r="E440" s="329" t="s">
        <v>327</v>
      </c>
      <c r="F440" s="330"/>
      <c r="G440" s="330"/>
      <c r="H440" s="330"/>
      <c r="I440" s="330"/>
      <c r="J440" s="330"/>
      <c r="K440" s="330"/>
      <c r="L440" s="330"/>
      <c r="M440" s="330"/>
      <c r="N440" s="330"/>
      <c r="O440" s="330"/>
      <c r="P440" s="330"/>
      <c r="Q440" s="330"/>
      <c r="R440" s="330"/>
      <c r="S440" s="330"/>
      <c r="T440" s="330"/>
      <c r="U440" s="331"/>
      <c r="V440" s="247" t="e">
        <f>VLOOKUP(E440,Лист4!A$2:G$395,7,FALSE)</f>
        <v>#N/A</v>
      </c>
      <c r="W440" s="247">
        <f>8.333*0.5</f>
        <v>4.1665000000000001</v>
      </c>
    </row>
    <row r="441" spans="1:23" ht="36">
      <c r="A441" s="336">
        <v>43848.201388888891</v>
      </c>
      <c r="B441" s="336">
        <v>43848.236111111109</v>
      </c>
      <c r="C441" s="277">
        <f t="shared" si="21"/>
        <v>3.4722222218988463E-2</v>
      </c>
      <c r="D441" s="338">
        <v>3.4722222222222224E-2</v>
      </c>
      <c r="E441" s="340">
        <v>3500</v>
      </c>
      <c r="F441" s="280" t="s">
        <v>497</v>
      </c>
      <c r="G441" s="280" t="s">
        <v>500</v>
      </c>
      <c r="H441" s="281" t="s">
        <v>258</v>
      </c>
      <c r="I441" s="282">
        <v>43854</v>
      </c>
      <c r="J441" s="283"/>
      <c r="K441" s="279" t="s">
        <v>227</v>
      </c>
      <c r="L441" s="284"/>
      <c r="M441" s="285"/>
      <c r="N441" s="280" t="s">
        <v>40</v>
      </c>
      <c r="O441" s="279">
        <v>325</v>
      </c>
      <c r="P441" s="279" t="s">
        <v>342</v>
      </c>
      <c r="Q441" s="286" t="s">
        <v>229</v>
      </c>
      <c r="R441" s="287">
        <v>1600</v>
      </c>
      <c r="S441" s="287">
        <v>1878</v>
      </c>
      <c r="T441" s="283" t="s">
        <v>232</v>
      </c>
      <c r="U441" s="287" t="s">
        <v>77</v>
      </c>
      <c r="V441" s="247" t="str">
        <f>VLOOKUP(E441,Лист4!A$2:G$395,7,FALSE)</f>
        <v>картон от 270</v>
      </c>
      <c r="W441" s="247">
        <f>IF(ISNA(V441),VLOOKUP(E441,категория!A$42:C$74,3,),6.94+R441*8.333/VLOOKUP(V441,категория!A$42:C$74,2,))</f>
        <v>11.537517241379312</v>
      </c>
    </row>
    <row r="442" spans="1:23">
      <c r="A442" s="337"/>
      <c r="B442" s="337"/>
      <c r="C442" s="277">
        <f t="shared" si="21"/>
        <v>0</v>
      </c>
      <c r="D442" s="339"/>
      <c r="E442" s="341"/>
      <c r="F442" s="342" t="s">
        <v>499</v>
      </c>
      <c r="G442" s="343"/>
      <c r="H442" s="343"/>
      <c r="I442" s="343"/>
      <c r="J442" s="343"/>
      <c r="K442" s="343"/>
      <c r="L442" s="343"/>
      <c r="M442" s="343"/>
      <c r="N442" s="343"/>
      <c r="O442" s="343"/>
      <c r="P442" s="343"/>
      <c r="Q442" s="343"/>
      <c r="R442" s="343"/>
      <c r="S442" s="343"/>
      <c r="T442" s="343"/>
      <c r="U442" s="344"/>
      <c r="V442" s="247" t="e">
        <f>VLOOKUP(E442,Лист4!A$2:G$395,7,FALSE)</f>
        <v>#N/A</v>
      </c>
      <c r="W442" s="247">
        <v>0</v>
      </c>
    </row>
    <row r="443" spans="1:23" ht="15.75">
      <c r="A443" s="277">
        <v>43848.236111111109</v>
      </c>
      <c r="B443" s="277">
        <v>43848.243055555555</v>
      </c>
      <c r="C443" s="277">
        <f t="shared" si="21"/>
        <v>6.9444444452528842E-3</v>
      </c>
      <c r="D443" s="278">
        <v>1.0416666666666666E-2</v>
      </c>
      <c r="E443" s="329" t="s">
        <v>170</v>
      </c>
      <c r="F443" s="330"/>
      <c r="G443" s="330"/>
      <c r="H443" s="330"/>
      <c r="I443" s="330"/>
      <c r="J443" s="330"/>
      <c r="K443" s="330"/>
      <c r="L443" s="330"/>
      <c r="M443" s="330"/>
      <c r="N443" s="330"/>
      <c r="O443" s="330"/>
      <c r="P443" s="330"/>
      <c r="Q443" s="330"/>
      <c r="R443" s="330"/>
      <c r="S443" s="330"/>
      <c r="T443" s="330"/>
      <c r="U443" s="331"/>
      <c r="V443" s="247" t="e">
        <f>VLOOKUP(E443,Лист4!A$2:G$395,7,FALSE)</f>
        <v>#N/A</v>
      </c>
      <c r="W443" s="247">
        <f>IF(ISNA(V443),VLOOKUP(E443,категория!A$42:C$74,3,),6.94+R443*8.333/VLOOKUP(V443,категория!A$42:C$74,2,))</f>
        <v>2.085</v>
      </c>
    </row>
    <row r="444" spans="1:23" ht="15.75">
      <c r="A444" s="277">
        <v>43848.243055555555</v>
      </c>
      <c r="B444" s="277">
        <v>43848.260416666664</v>
      </c>
      <c r="C444" s="277">
        <f t="shared" si="21"/>
        <v>1.7361111109494232E-2</v>
      </c>
      <c r="D444" s="278">
        <v>3.472222222222222E-3</v>
      </c>
      <c r="E444" s="329" t="s">
        <v>327</v>
      </c>
      <c r="F444" s="330"/>
      <c r="G444" s="330"/>
      <c r="H444" s="330"/>
      <c r="I444" s="330"/>
      <c r="J444" s="330"/>
      <c r="K444" s="330"/>
      <c r="L444" s="330"/>
      <c r="M444" s="330"/>
      <c r="N444" s="330"/>
      <c r="O444" s="330"/>
      <c r="P444" s="330"/>
      <c r="Q444" s="330"/>
      <c r="R444" s="330"/>
      <c r="S444" s="330"/>
      <c r="T444" s="330"/>
      <c r="U444" s="331"/>
      <c r="V444" s="247" t="e">
        <f>VLOOKUP(E444,Лист4!A$2:G$395,7,FALSE)</f>
        <v>#N/A</v>
      </c>
      <c r="W444" s="247">
        <f>8.33*0.45</f>
        <v>3.7484999999999999</v>
      </c>
    </row>
    <row r="445" spans="1:23" ht="36">
      <c r="A445" s="277">
        <v>43848.260416666664</v>
      </c>
      <c r="B445" s="277">
        <v>43848.288194444445</v>
      </c>
      <c r="C445" s="277">
        <f t="shared" si="21"/>
        <v>2.7777777781011537E-2</v>
      </c>
      <c r="D445" s="278">
        <v>2.7777777777777776E-2</v>
      </c>
      <c r="E445" s="279">
        <v>3500</v>
      </c>
      <c r="F445" s="280" t="s">
        <v>497</v>
      </c>
      <c r="G445" s="280" t="s">
        <v>500</v>
      </c>
      <c r="H445" s="281" t="s">
        <v>259</v>
      </c>
      <c r="I445" s="282">
        <v>43854</v>
      </c>
      <c r="J445" s="283"/>
      <c r="K445" s="279" t="s">
        <v>227</v>
      </c>
      <c r="L445" s="284"/>
      <c r="M445" s="285"/>
      <c r="N445" s="280" t="s">
        <v>40</v>
      </c>
      <c r="O445" s="279">
        <v>325</v>
      </c>
      <c r="P445" s="279" t="s">
        <v>342</v>
      </c>
      <c r="Q445" s="286" t="s">
        <v>229</v>
      </c>
      <c r="R445" s="287">
        <v>1600</v>
      </c>
      <c r="S445" s="287">
        <v>1502</v>
      </c>
      <c r="T445" s="283" t="s">
        <v>232</v>
      </c>
      <c r="U445" s="287" t="s">
        <v>77</v>
      </c>
      <c r="V445" s="247" t="str">
        <f>VLOOKUP(E445,Лист4!A$2:G$395,7,FALSE)</f>
        <v>картон от 270</v>
      </c>
      <c r="W445" s="247">
        <f>IF(ISNA(V445),VLOOKUP(E445,категория!A$42:C$74,3,),R445*8.333/VLOOKUP(V445,категория!A$42:C$74,2,))</f>
        <v>4.5975172413793111</v>
      </c>
    </row>
    <row r="446" spans="1:23" ht="15.75">
      <c r="A446" s="277">
        <v>43848.288194444445</v>
      </c>
      <c r="B446" s="277">
        <v>43848.298611111109</v>
      </c>
      <c r="C446" s="277">
        <f t="shared" si="21"/>
        <v>1.0416666664241347E-2</v>
      </c>
      <c r="D446" s="278">
        <v>2.0833333333333332E-2</v>
      </c>
      <c r="E446" s="329" t="s">
        <v>2</v>
      </c>
      <c r="F446" s="330"/>
      <c r="G446" s="330"/>
      <c r="H446" s="330"/>
      <c r="I446" s="330"/>
      <c r="J446" s="330"/>
      <c r="K446" s="330"/>
      <c r="L446" s="330"/>
      <c r="M446" s="330"/>
      <c r="N446" s="330"/>
      <c r="O446" s="330"/>
      <c r="P446" s="330"/>
      <c r="Q446" s="330"/>
      <c r="R446" s="330"/>
      <c r="S446" s="330"/>
      <c r="T446" s="330"/>
      <c r="U446" s="331"/>
      <c r="V446" s="247" t="e">
        <f>VLOOKUP(E446,Лист4!A$2:G$395,7,FALSE)</f>
        <v>#N/A</v>
      </c>
      <c r="W446" s="247">
        <f>IF(ISNA(V446),VLOOKUP(E446,категория!A$42:C$74,3,),6.94+R446*8.333/VLOOKUP(V446,категория!A$42:C$74,2,))</f>
        <v>4.17</v>
      </c>
    </row>
    <row r="447" spans="1:23" ht="15.75">
      <c r="A447" s="277">
        <v>43848.298611111109</v>
      </c>
      <c r="B447" s="277">
        <v>43848.333333333336</v>
      </c>
      <c r="C447" s="277">
        <f t="shared" si="21"/>
        <v>3.4722222226264421E-2</v>
      </c>
      <c r="D447" s="278">
        <v>4.1666666666666664E-2</v>
      </c>
      <c r="E447" s="329" t="s">
        <v>7</v>
      </c>
      <c r="F447" s="330"/>
      <c r="G447" s="330"/>
      <c r="H447" s="330"/>
      <c r="I447" s="330"/>
      <c r="J447" s="330"/>
      <c r="K447" s="330"/>
      <c r="L447" s="330"/>
      <c r="M447" s="330"/>
      <c r="N447" s="330"/>
      <c r="O447" s="330"/>
      <c r="P447" s="330"/>
      <c r="Q447" s="330"/>
      <c r="R447" s="330"/>
      <c r="S447" s="330"/>
      <c r="T447" s="330"/>
      <c r="U447" s="331"/>
      <c r="V447" s="247" t="e">
        <f>VLOOKUP(E447,Лист4!A$2:G$395,7,FALSE)</f>
        <v>#N/A</v>
      </c>
      <c r="W447" s="247">
        <f>IF(ISNA(V447),VLOOKUP(E447,категория!A$42:C$74,3,),6.94+R447*8.333/VLOOKUP(V447,категория!A$42:C$74,2,))*0.86</f>
        <v>7.1666379999999998</v>
      </c>
    </row>
    <row r="448" spans="1:23" ht="15.75">
      <c r="A448" s="288">
        <v>43848.333333333336</v>
      </c>
      <c r="B448" s="332" t="s">
        <v>501</v>
      </c>
      <c r="C448" s="333"/>
      <c r="D448" s="334"/>
      <c r="E448" s="334"/>
      <c r="F448" s="334"/>
      <c r="G448" s="334"/>
      <c r="H448" s="334"/>
      <c r="I448" s="334"/>
      <c r="J448" s="334"/>
      <c r="K448" s="334"/>
      <c r="L448" s="334"/>
      <c r="M448" s="334"/>
      <c r="N448" s="334"/>
      <c r="O448" s="334"/>
      <c r="P448" s="334"/>
      <c r="Q448" s="334"/>
      <c r="R448" s="334"/>
      <c r="S448" s="334"/>
      <c r="T448" s="334"/>
      <c r="U448" s="335"/>
      <c r="V448" s="247" t="e">
        <f>VLOOKUP(E448,Лист4!A$2:G$395,7,FALSE)</f>
        <v>#N/A</v>
      </c>
      <c r="W448" s="52">
        <f>SUM(W424:W447)</f>
        <v>115.03677627586207</v>
      </c>
    </row>
    <row r="449" spans="1:23" ht="15.75">
      <c r="A449" s="277">
        <v>43848.333333333336</v>
      </c>
      <c r="B449" s="277">
        <v>43848.354166666664</v>
      </c>
      <c r="C449" s="277">
        <f>B449-A449</f>
        <v>2.0833333328482695E-2</v>
      </c>
      <c r="D449" s="278">
        <v>2.0833333333333332E-2</v>
      </c>
      <c r="E449" s="329" t="s">
        <v>22</v>
      </c>
      <c r="F449" s="330"/>
      <c r="G449" s="330"/>
      <c r="H449" s="330"/>
      <c r="I449" s="330"/>
      <c r="J449" s="330"/>
      <c r="K449" s="330"/>
      <c r="L449" s="330"/>
      <c r="M449" s="330"/>
      <c r="N449" s="330"/>
      <c r="O449" s="330"/>
      <c r="P449" s="330"/>
      <c r="Q449" s="330"/>
      <c r="R449" s="330"/>
      <c r="S449" s="330"/>
      <c r="T449" s="330"/>
      <c r="U449" s="331"/>
      <c r="V449" s="247" t="e">
        <f>VLOOKUP(E449,Лист4!A$2:G$395,7,FALSE)</f>
        <v>#N/A</v>
      </c>
      <c r="W449" s="247">
        <f>IF(ISNA(V449),VLOOKUP(E449,категория!A$42:C$74,3,),6.94+R449*8.333/VLOOKUP(V449,категория!A$42:C$74,2,))</f>
        <v>4.17</v>
      </c>
    </row>
    <row r="450" spans="1:23" ht="15.75">
      <c r="A450" s="277">
        <v>43848.354166666664</v>
      </c>
      <c r="B450" s="277">
        <v>43848.402777777781</v>
      </c>
      <c r="C450" s="277">
        <f t="shared" ref="C450:C460" si="22">B450-A450</f>
        <v>4.8611111116770189E-2</v>
      </c>
      <c r="D450" s="278">
        <v>4.1666666666666664E-2</v>
      </c>
      <c r="E450" s="329" t="s">
        <v>28</v>
      </c>
      <c r="F450" s="330"/>
      <c r="G450" s="330"/>
      <c r="H450" s="330"/>
      <c r="I450" s="330"/>
      <c r="J450" s="330"/>
      <c r="K450" s="330"/>
      <c r="L450" s="330"/>
      <c r="M450" s="330"/>
      <c r="N450" s="330"/>
      <c r="O450" s="330"/>
      <c r="P450" s="330"/>
      <c r="Q450" s="330"/>
      <c r="R450" s="330"/>
      <c r="S450" s="330"/>
      <c r="T450" s="330"/>
      <c r="U450" s="331"/>
      <c r="V450" s="247" t="e">
        <f>VLOOKUP(E450,Лист4!A$2:G$395,7,FALSE)</f>
        <v>#N/A</v>
      </c>
      <c r="W450" s="247">
        <f>IF(ISNA(V450),VLOOKUP(E450,категория!A$42:C$74,3,),6.94+R450*8.333/VLOOKUP(V450,категория!A$42:C$74,2,))*1.16</f>
        <v>9.6666279999999993</v>
      </c>
    </row>
    <row r="451" spans="1:23" ht="36">
      <c r="A451" s="277">
        <v>43848.402777777781</v>
      </c>
      <c r="B451" s="277">
        <v>43848.427083333336</v>
      </c>
      <c r="C451" s="277">
        <f t="shared" si="22"/>
        <v>2.4305555554747116E-2</v>
      </c>
      <c r="D451" s="278">
        <v>2.4305555555555556E-2</v>
      </c>
      <c r="E451" s="279">
        <v>116</v>
      </c>
      <c r="F451" s="280" t="s">
        <v>284</v>
      </c>
      <c r="G451" s="280" t="s">
        <v>502</v>
      </c>
      <c r="H451" s="281" t="s">
        <v>226</v>
      </c>
      <c r="I451" s="282">
        <v>43852</v>
      </c>
      <c r="J451" s="283"/>
      <c r="K451" s="279" t="s">
        <v>227</v>
      </c>
      <c r="L451" s="284"/>
      <c r="M451" s="285"/>
      <c r="N451" s="280" t="s">
        <v>35</v>
      </c>
      <c r="O451" s="279">
        <v>270</v>
      </c>
      <c r="P451" s="279" t="s">
        <v>272</v>
      </c>
      <c r="Q451" s="286" t="s">
        <v>229</v>
      </c>
      <c r="R451" s="287">
        <v>230</v>
      </c>
      <c r="S451" s="287">
        <v>398</v>
      </c>
      <c r="T451" s="283" t="s">
        <v>232</v>
      </c>
      <c r="U451" s="287" t="s">
        <v>230</v>
      </c>
      <c r="V451" s="247" t="str">
        <f>VLOOKUP(E451,Лист4!A$2:G$395,7,FALSE)</f>
        <v>картон от 270</v>
      </c>
      <c r="W451" s="247">
        <f>IF(ISNA(V451),VLOOKUP(E451,категория!A$42:C$74,3,),6.94+R451*8.333/VLOOKUP(V451,категория!A$42:C$74,2,))</f>
        <v>7.6008931034482767</v>
      </c>
    </row>
    <row r="452" spans="1:23" ht="15.75">
      <c r="A452" s="277">
        <v>43848.427083333336</v>
      </c>
      <c r="B452" s="277">
        <v>43848.4375</v>
      </c>
      <c r="C452" s="277">
        <f t="shared" si="22"/>
        <v>1.0416666664241347E-2</v>
      </c>
      <c r="D452" s="278">
        <v>1.0416666666666666E-2</v>
      </c>
      <c r="E452" s="329" t="s">
        <v>170</v>
      </c>
      <c r="F452" s="330"/>
      <c r="G452" s="330"/>
      <c r="H452" s="330"/>
      <c r="I452" s="330"/>
      <c r="J452" s="330"/>
      <c r="K452" s="330"/>
      <c r="L452" s="330"/>
      <c r="M452" s="330"/>
      <c r="N452" s="330"/>
      <c r="O452" s="330"/>
      <c r="P452" s="330"/>
      <c r="Q452" s="330"/>
      <c r="R452" s="330"/>
      <c r="S452" s="330"/>
      <c r="T452" s="330"/>
      <c r="U452" s="331"/>
      <c r="V452" s="247" t="e">
        <f>VLOOKUP(E452,Лист4!A$2:G$395,7,FALSE)</f>
        <v>#N/A</v>
      </c>
      <c r="W452" s="247">
        <f>IF(ISNA(V452),VLOOKUP(E452,категория!A$42:C$74,3,),6.94+R452*8.333/VLOOKUP(V452,категория!A$42:C$74,2,))</f>
        <v>2.085</v>
      </c>
    </row>
    <row r="453" spans="1:23" ht="15.75">
      <c r="A453" s="277">
        <v>43848.4375</v>
      </c>
      <c r="B453" s="277">
        <v>43848.458333333336</v>
      </c>
      <c r="C453" s="277">
        <f t="shared" si="22"/>
        <v>2.0833333335758653E-2</v>
      </c>
      <c r="D453" s="278">
        <v>3.472222222222222E-3</v>
      </c>
      <c r="E453" s="329" t="s">
        <v>24</v>
      </c>
      <c r="F453" s="330"/>
      <c r="G453" s="330"/>
      <c r="H453" s="330"/>
      <c r="I453" s="330"/>
      <c r="J453" s="330"/>
      <c r="K453" s="330"/>
      <c r="L453" s="330"/>
      <c r="M453" s="330"/>
      <c r="N453" s="330"/>
      <c r="O453" s="330"/>
      <c r="P453" s="330"/>
      <c r="Q453" s="330"/>
      <c r="R453" s="330"/>
      <c r="S453" s="330"/>
      <c r="T453" s="330"/>
      <c r="U453" s="331"/>
      <c r="V453" s="247" t="e">
        <f>VLOOKUP(E453,Лист4!A$2:G$395,7,FALSE)</f>
        <v>#N/A</v>
      </c>
      <c r="W453" s="247">
        <f>IF(ISNA(V453),VLOOKUP(E453,категория!A$42:C$74,3,),6.94+R453*8.333/VLOOKUP(V453,категория!A$42:C$74,2,))</f>
        <v>3.47</v>
      </c>
    </row>
    <row r="454" spans="1:23" ht="15.75">
      <c r="A454" s="277">
        <v>43848.458333333336</v>
      </c>
      <c r="B454" s="277">
        <v>43848.489583333336</v>
      </c>
      <c r="C454" s="277">
        <f t="shared" si="22"/>
        <v>3.125E-2</v>
      </c>
      <c r="D454" s="278">
        <v>3.472222222222222E-3</v>
      </c>
      <c r="E454" s="329" t="s">
        <v>327</v>
      </c>
      <c r="F454" s="330"/>
      <c r="G454" s="330"/>
      <c r="H454" s="330"/>
      <c r="I454" s="330"/>
      <c r="J454" s="330"/>
      <c r="K454" s="330"/>
      <c r="L454" s="330"/>
      <c r="M454" s="330"/>
      <c r="N454" s="330"/>
      <c r="O454" s="330"/>
      <c r="P454" s="330"/>
      <c r="Q454" s="330"/>
      <c r="R454" s="330"/>
      <c r="S454" s="330"/>
      <c r="T454" s="330"/>
      <c r="U454" s="331"/>
      <c r="V454" s="247" t="e">
        <f>VLOOKUP(E454,Лист4!A$2:G$395,7,FALSE)</f>
        <v>#N/A</v>
      </c>
      <c r="W454" s="247">
        <f>8.33*0.75</f>
        <v>6.2475000000000005</v>
      </c>
    </row>
    <row r="455" spans="1:23" ht="60">
      <c r="A455" s="277">
        <v>43848.489583333336</v>
      </c>
      <c r="B455" s="277">
        <v>43848.53125</v>
      </c>
      <c r="C455" s="277">
        <f t="shared" si="22"/>
        <v>4.1666666664241347E-2</v>
      </c>
      <c r="D455" s="278">
        <v>4.1666666666666664E-2</v>
      </c>
      <c r="E455" s="279">
        <v>128</v>
      </c>
      <c r="F455" s="280" t="s">
        <v>331</v>
      </c>
      <c r="G455" s="280" t="s">
        <v>503</v>
      </c>
      <c r="H455" s="281" t="s">
        <v>226</v>
      </c>
      <c r="I455" s="282">
        <v>43854</v>
      </c>
      <c r="J455" s="283"/>
      <c r="K455" s="279" t="s">
        <v>227</v>
      </c>
      <c r="L455" s="284"/>
      <c r="M455" s="285"/>
      <c r="N455" s="280" t="s">
        <v>35</v>
      </c>
      <c r="O455" s="279">
        <v>235</v>
      </c>
      <c r="P455" s="279" t="s">
        <v>272</v>
      </c>
      <c r="Q455" s="286" t="s">
        <v>229</v>
      </c>
      <c r="R455" s="287">
        <v>1920</v>
      </c>
      <c r="S455" s="287">
        <v>2066</v>
      </c>
      <c r="T455" s="283" t="s">
        <v>232</v>
      </c>
      <c r="U455" s="287" t="s">
        <v>230</v>
      </c>
      <c r="V455" s="247" t="str">
        <f>VLOOKUP(E455,Лист4!A$2:G$395,7,FALSE)</f>
        <v>картон до 250</v>
      </c>
      <c r="W455" s="247">
        <f>IF(ISNA(V455),VLOOKUP(E455,категория!A$42:C$74,3,),6.94+R455*8.333/VLOOKUP(V455,категория!A$42:C$74,2,))</f>
        <v>11.788290909090911</v>
      </c>
    </row>
    <row r="456" spans="1:23" ht="15.75">
      <c r="A456" s="277">
        <v>43848.53125</v>
      </c>
      <c r="B456" s="277">
        <v>43848.541666666664</v>
      </c>
      <c r="C456" s="277">
        <f t="shared" si="22"/>
        <v>1.0416666664241347E-2</v>
      </c>
      <c r="D456" s="278">
        <v>1.0416666666666666E-2</v>
      </c>
      <c r="E456" s="329" t="s">
        <v>170</v>
      </c>
      <c r="F456" s="330"/>
      <c r="G456" s="330"/>
      <c r="H456" s="330"/>
      <c r="I456" s="330"/>
      <c r="J456" s="330"/>
      <c r="K456" s="330"/>
      <c r="L456" s="330"/>
      <c r="M456" s="330"/>
      <c r="N456" s="330"/>
      <c r="O456" s="330"/>
      <c r="P456" s="330"/>
      <c r="Q456" s="330"/>
      <c r="R456" s="330"/>
      <c r="S456" s="330"/>
      <c r="T456" s="330"/>
      <c r="U456" s="331"/>
      <c r="V456" s="247" t="e">
        <f>VLOOKUP(E456,Лист4!A$2:G$395,7,FALSE)</f>
        <v>#N/A</v>
      </c>
      <c r="W456" s="247">
        <f>IF(ISNA(V456),VLOOKUP(E456,категория!A$42:C$74,3,),6.94+R456*8.333/VLOOKUP(V456,категория!A$42:C$74,2,))</f>
        <v>2.085</v>
      </c>
    </row>
    <row r="457" spans="1:23" ht="15.75">
      <c r="A457" s="277">
        <v>43848.541666666664</v>
      </c>
      <c r="B457" s="277">
        <v>43848.5625</v>
      </c>
      <c r="C457" s="277">
        <f t="shared" si="22"/>
        <v>2.0833333335758653E-2</v>
      </c>
      <c r="D457" s="278">
        <v>2.0833333333333332E-2</v>
      </c>
      <c r="E457" s="329" t="s">
        <v>23</v>
      </c>
      <c r="F457" s="330"/>
      <c r="G457" s="330"/>
      <c r="H457" s="330"/>
      <c r="I457" s="330"/>
      <c r="J457" s="330"/>
      <c r="K457" s="330"/>
      <c r="L457" s="330"/>
      <c r="M457" s="330"/>
      <c r="N457" s="330"/>
      <c r="O457" s="330"/>
      <c r="P457" s="330"/>
      <c r="Q457" s="330"/>
      <c r="R457" s="330"/>
      <c r="S457" s="330"/>
      <c r="T457" s="330"/>
      <c r="U457" s="331"/>
      <c r="V457" s="247" t="e">
        <f>VLOOKUP(E457,Лист4!A$2:G$395,7,FALSE)</f>
        <v>#N/A</v>
      </c>
      <c r="W457" s="247">
        <f>IF(ISNA(V457),VLOOKUP(E457,категория!A$42:C$74,3,),6.94+R457*8.333/VLOOKUP(V457,категория!A$42:C$74,2,))</f>
        <v>2.78</v>
      </c>
    </row>
    <row r="458" spans="1:23" ht="15.75">
      <c r="A458" s="277">
        <v>43848.5625</v>
      </c>
      <c r="B458" s="277">
        <v>43848.677083333336</v>
      </c>
      <c r="C458" s="277">
        <f t="shared" si="22"/>
        <v>0.11458333333575865</v>
      </c>
      <c r="D458" s="278">
        <v>4.1666666666666664E-2</v>
      </c>
      <c r="E458" s="329" t="s">
        <v>504</v>
      </c>
      <c r="F458" s="330"/>
      <c r="G458" s="330"/>
      <c r="H458" s="330"/>
      <c r="I458" s="330"/>
      <c r="J458" s="330"/>
      <c r="K458" s="330"/>
      <c r="L458" s="330"/>
      <c r="M458" s="330"/>
      <c r="N458" s="330"/>
      <c r="O458" s="330"/>
      <c r="P458" s="330"/>
      <c r="Q458" s="330"/>
      <c r="R458" s="330"/>
      <c r="S458" s="330"/>
      <c r="T458" s="330"/>
      <c r="U458" s="331"/>
      <c r="V458" s="247" t="e">
        <f>VLOOKUP(E458,Лист4!A$2:G$395,7,FALSE)</f>
        <v>#N/A</v>
      </c>
      <c r="W458" s="247">
        <f>2.75*8.333</f>
        <v>22.915749999999999</v>
      </c>
    </row>
    <row r="459" spans="1:23" ht="15.75">
      <c r="A459" s="277">
        <v>43848.677083333336</v>
      </c>
      <c r="B459" s="277">
        <v>43848.708333333336</v>
      </c>
      <c r="C459" s="277">
        <f t="shared" si="22"/>
        <v>3.125E-2</v>
      </c>
      <c r="D459" s="278">
        <v>3.472222222222222E-3</v>
      </c>
      <c r="E459" s="329" t="s">
        <v>288</v>
      </c>
      <c r="F459" s="330"/>
      <c r="G459" s="330"/>
      <c r="H459" s="330"/>
      <c r="I459" s="330"/>
      <c r="J459" s="330"/>
      <c r="K459" s="330"/>
      <c r="L459" s="330"/>
      <c r="M459" s="330"/>
      <c r="N459" s="330"/>
      <c r="O459" s="330"/>
      <c r="P459" s="330"/>
      <c r="Q459" s="330"/>
      <c r="R459" s="330"/>
      <c r="S459" s="330"/>
      <c r="T459" s="330"/>
      <c r="U459" s="331"/>
      <c r="V459" s="247" t="e">
        <f>VLOOKUP(E459,Лист4!A$2:G$395,7,FALSE)</f>
        <v>#N/A</v>
      </c>
      <c r="W459" s="247">
        <v>6.94</v>
      </c>
    </row>
    <row r="460" spans="1:23" ht="15.75">
      <c r="A460" s="277">
        <v>43848.708333333336</v>
      </c>
      <c r="B460" s="277">
        <v>43848.833333333336</v>
      </c>
      <c r="C460" s="277">
        <f t="shared" si="22"/>
        <v>0.125</v>
      </c>
      <c r="D460" s="278">
        <v>8.3333333333333329E-2</v>
      </c>
      <c r="E460" s="329" t="s">
        <v>283</v>
      </c>
      <c r="F460" s="330"/>
      <c r="G460" s="330"/>
      <c r="H460" s="330"/>
      <c r="I460" s="330"/>
      <c r="J460" s="330"/>
      <c r="K460" s="330"/>
      <c r="L460" s="330"/>
      <c r="M460" s="330"/>
      <c r="N460" s="330"/>
      <c r="O460" s="330"/>
      <c r="P460" s="330"/>
      <c r="Q460" s="330"/>
      <c r="R460" s="330"/>
      <c r="S460" s="330"/>
      <c r="T460" s="330"/>
      <c r="U460" s="331"/>
      <c r="V460" s="247" t="e">
        <f>VLOOKUP(E460,Лист4!A$2:G$395,7,FALSE)</f>
        <v>#N/A</v>
      </c>
      <c r="W460" s="247">
        <f>3*8.333</f>
        <v>24.999000000000002</v>
      </c>
    </row>
    <row r="461" spans="1:23" ht="15.75">
      <c r="A461" s="288">
        <v>43848.833333333336</v>
      </c>
      <c r="B461" s="332" t="s">
        <v>505</v>
      </c>
      <c r="C461" s="333"/>
      <c r="D461" s="334"/>
      <c r="E461" s="334"/>
      <c r="F461" s="334"/>
      <c r="G461" s="334"/>
      <c r="H461" s="334"/>
      <c r="I461" s="334"/>
      <c r="J461" s="334"/>
      <c r="K461" s="334"/>
      <c r="L461" s="334"/>
      <c r="M461" s="334"/>
      <c r="N461" s="334"/>
      <c r="O461" s="334"/>
      <c r="P461" s="334"/>
      <c r="Q461" s="334"/>
      <c r="R461" s="334"/>
      <c r="S461" s="334"/>
      <c r="T461" s="334"/>
      <c r="U461" s="335"/>
      <c r="V461" s="247" t="e">
        <f>VLOOKUP(E461,Лист4!A$2:G$395,7,FALSE)</f>
        <v>#N/A</v>
      </c>
      <c r="W461" s="52">
        <f>SUM(W449:W460)</f>
        <v>104.74806201253918</v>
      </c>
    </row>
    <row r="462" spans="1:23" ht="15.75">
      <c r="A462" s="277">
        <v>43848.833333333336</v>
      </c>
      <c r="B462" s="277">
        <v>43849.333333333336</v>
      </c>
      <c r="C462" s="277"/>
      <c r="D462" s="278">
        <v>4.1666666666666664E-2</v>
      </c>
      <c r="E462" s="329" t="s">
        <v>283</v>
      </c>
      <c r="F462" s="330"/>
      <c r="G462" s="330"/>
      <c r="H462" s="330"/>
      <c r="I462" s="330"/>
      <c r="J462" s="330"/>
      <c r="K462" s="330"/>
      <c r="L462" s="330"/>
      <c r="M462" s="330"/>
      <c r="N462" s="330"/>
      <c r="O462" s="330"/>
      <c r="P462" s="330"/>
      <c r="Q462" s="330"/>
      <c r="R462" s="330"/>
      <c r="S462" s="330"/>
      <c r="T462" s="330"/>
      <c r="U462" s="331"/>
      <c r="V462" s="247" t="e">
        <f>VLOOKUP(E462,Лист4!A$2:G$395,7,FALSE)</f>
        <v>#N/A</v>
      </c>
      <c r="W462" s="247">
        <v>100</v>
      </c>
    </row>
    <row r="463" spans="1:23" ht="15.75">
      <c r="A463" s="288">
        <v>43849.333333333336</v>
      </c>
      <c r="B463" s="332" t="s">
        <v>383</v>
      </c>
      <c r="C463" s="333"/>
      <c r="D463" s="334"/>
      <c r="E463" s="334"/>
      <c r="F463" s="334"/>
      <c r="G463" s="334"/>
      <c r="H463" s="334"/>
      <c r="I463" s="334"/>
      <c r="J463" s="334"/>
      <c r="K463" s="334"/>
      <c r="L463" s="334"/>
      <c r="M463" s="334"/>
      <c r="N463" s="334"/>
      <c r="O463" s="334"/>
      <c r="P463" s="334"/>
      <c r="Q463" s="334"/>
      <c r="R463" s="334"/>
      <c r="S463" s="334"/>
      <c r="T463" s="334"/>
      <c r="U463" s="335"/>
      <c r="V463" s="247" t="e">
        <f>VLOOKUP(E463,Лист4!A$2:G$395,7,FALSE)</f>
        <v>#N/A</v>
      </c>
      <c r="W463" s="247" t="e">
        <f>IF(ISNA(V463),VLOOKUP(E463,категория!A$42:C$74,3,),6.94+R463*8.333/VLOOKUP(V463,категория!A$42:C$74,2,))</f>
        <v>#N/A</v>
      </c>
    </row>
    <row r="464" spans="1:23" ht="15.75">
      <c r="A464" s="288">
        <v>43849.833333333336</v>
      </c>
      <c r="B464" s="332" t="s">
        <v>506</v>
      </c>
      <c r="C464" s="333"/>
      <c r="D464" s="334"/>
      <c r="E464" s="334"/>
      <c r="F464" s="334"/>
      <c r="G464" s="334"/>
      <c r="H464" s="334"/>
      <c r="I464" s="334"/>
      <c r="J464" s="334"/>
      <c r="K464" s="334"/>
      <c r="L464" s="334"/>
      <c r="M464" s="334"/>
      <c r="N464" s="334"/>
      <c r="O464" s="334"/>
      <c r="P464" s="334"/>
      <c r="Q464" s="334"/>
      <c r="R464" s="334"/>
      <c r="S464" s="334"/>
      <c r="T464" s="334"/>
      <c r="U464" s="335"/>
      <c r="V464" s="247" t="e">
        <f>VLOOKUP(E464,Лист4!A$2:G$395,7,FALSE)</f>
        <v>#N/A</v>
      </c>
      <c r="W464" s="247" t="e">
        <f>IF(ISNA(V464),VLOOKUP(E464,категория!A$42:C$74,3,),6.94+R464*8.333/VLOOKUP(V464,категория!A$42:C$74,2,))</f>
        <v>#N/A</v>
      </c>
    </row>
    <row r="465" spans="1:23" ht="15.75">
      <c r="A465" s="277">
        <v>43849.833333333336</v>
      </c>
      <c r="B465" s="277">
        <v>43850.333333333336</v>
      </c>
      <c r="C465" s="277"/>
      <c r="D465" s="278">
        <v>4.1666666666666664E-2</v>
      </c>
      <c r="E465" s="329" t="s">
        <v>283</v>
      </c>
      <c r="F465" s="330"/>
      <c r="G465" s="330"/>
      <c r="H465" s="330"/>
      <c r="I465" s="330"/>
      <c r="J465" s="330"/>
      <c r="K465" s="330"/>
      <c r="L465" s="330"/>
      <c r="M465" s="330"/>
      <c r="N465" s="330"/>
      <c r="O465" s="330"/>
      <c r="P465" s="330"/>
      <c r="Q465" s="330"/>
      <c r="R465" s="330"/>
      <c r="S465" s="330"/>
      <c r="T465" s="330"/>
      <c r="U465" s="331"/>
      <c r="V465" s="247" t="e">
        <f>VLOOKUP(E465,Лист4!A$2:G$395,7,FALSE)</f>
        <v>#N/A</v>
      </c>
      <c r="W465" s="247">
        <v>100</v>
      </c>
    </row>
    <row r="466" spans="1:23" ht="15.75">
      <c r="A466" s="288">
        <v>43850.333333333336</v>
      </c>
      <c r="B466" s="332" t="s">
        <v>507</v>
      </c>
      <c r="C466" s="333"/>
      <c r="D466" s="334"/>
      <c r="E466" s="334"/>
      <c r="F466" s="334"/>
      <c r="G466" s="334"/>
      <c r="H466" s="334"/>
      <c r="I466" s="334"/>
      <c r="J466" s="334"/>
      <c r="K466" s="334"/>
      <c r="L466" s="334"/>
      <c r="M466" s="334"/>
      <c r="N466" s="334"/>
      <c r="O466" s="334"/>
      <c r="P466" s="334"/>
      <c r="Q466" s="334"/>
      <c r="R466" s="334"/>
      <c r="S466" s="334"/>
      <c r="T466" s="334"/>
      <c r="U466" s="335"/>
      <c r="V466" s="247" t="e">
        <f>VLOOKUP(E466,Лист4!A$2:G$395,7,FALSE)</f>
        <v>#N/A</v>
      </c>
      <c r="W466" s="247" t="e">
        <f>IF(ISNA(V466),VLOOKUP(E466,категория!A$42:C$74,3,),6.94+R466*8.333/VLOOKUP(V466,категория!A$42:C$74,2,))</f>
        <v>#N/A</v>
      </c>
    </row>
    <row r="467" spans="1:23" ht="15.75">
      <c r="A467" s="277">
        <v>43850.333333333336</v>
      </c>
      <c r="B467" s="277">
        <v>43850.833333333336</v>
      </c>
      <c r="C467" s="277"/>
      <c r="D467" s="278">
        <v>0.5</v>
      </c>
      <c r="E467" s="329" t="s">
        <v>283</v>
      </c>
      <c r="F467" s="330"/>
      <c r="G467" s="330"/>
      <c r="H467" s="330"/>
      <c r="I467" s="330"/>
      <c r="J467" s="330"/>
      <c r="K467" s="330"/>
      <c r="L467" s="330"/>
      <c r="M467" s="330"/>
      <c r="N467" s="330"/>
      <c r="O467" s="330"/>
      <c r="P467" s="330"/>
      <c r="Q467" s="330"/>
      <c r="R467" s="330"/>
      <c r="S467" s="330"/>
      <c r="T467" s="330"/>
      <c r="U467" s="331"/>
      <c r="V467" s="247" t="e">
        <f>VLOOKUP(E467,Лист4!A$2:G$395,7,FALSE)</f>
        <v>#N/A</v>
      </c>
      <c r="W467" s="247">
        <v>100</v>
      </c>
    </row>
    <row r="468" spans="1:23" ht="15.75">
      <c r="A468" s="288">
        <v>43850.833333333336</v>
      </c>
      <c r="B468" s="332" t="s">
        <v>508</v>
      </c>
      <c r="C468" s="333"/>
      <c r="D468" s="334"/>
      <c r="E468" s="334"/>
      <c r="F468" s="334"/>
      <c r="G468" s="334"/>
      <c r="H468" s="334"/>
      <c r="I468" s="334"/>
      <c r="J468" s="334"/>
      <c r="K468" s="334"/>
      <c r="L468" s="334"/>
      <c r="M468" s="334"/>
      <c r="N468" s="334"/>
      <c r="O468" s="334"/>
      <c r="P468" s="334"/>
      <c r="Q468" s="334"/>
      <c r="R468" s="334"/>
      <c r="S468" s="334"/>
      <c r="T468" s="334"/>
      <c r="U468" s="335"/>
      <c r="V468" s="247" t="e">
        <f>VLOOKUP(E468,Лист4!A$2:G$395,7,FALSE)</f>
        <v>#N/A</v>
      </c>
      <c r="W468" s="247" t="e">
        <f>IF(ISNA(V468),VLOOKUP(E468,категория!A$42:C$74,3,),6.94+R468*8.333/VLOOKUP(V468,категория!A$42:C$74,2,))</f>
        <v>#N/A</v>
      </c>
    </row>
    <row r="469" spans="1:23" ht="15.75">
      <c r="A469" s="277">
        <v>43850.833333333336</v>
      </c>
      <c r="B469" s="277">
        <v>43851.333333333336</v>
      </c>
      <c r="C469" s="277"/>
      <c r="D469" s="278">
        <v>0.5</v>
      </c>
      <c r="E469" s="329" t="s">
        <v>10</v>
      </c>
      <c r="F469" s="330"/>
      <c r="G469" s="330"/>
      <c r="H469" s="330"/>
      <c r="I469" s="330"/>
      <c r="J469" s="330"/>
      <c r="K469" s="330"/>
      <c r="L469" s="330"/>
      <c r="M469" s="330"/>
      <c r="N469" s="330"/>
      <c r="O469" s="330"/>
      <c r="P469" s="330"/>
      <c r="Q469" s="330"/>
      <c r="R469" s="330"/>
      <c r="S469" s="330"/>
      <c r="T469" s="330"/>
      <c r="U469" s="331"/>
      <c r="V469" s="247" t="e">
        <f>VLOOKUP(E469,Лист4!A$2:G$395,7,FALSE)</f>
        <v>#N/A</v>
      </c>
      <c r="W469" s="247">
        <v>100</v>
      </c>
    </row>
    <row r="470" spans="1:23" ht="15.75">
      <c r="A470" s="288">
        <v>43851.333333333336</v>
      </c>
      <c r="B470" s="332" t="s">
        <v>509</v>
      </c>
      <c r="C470" s="333"/>
      <c r="D470" s="334"/>
      <c r="E470" s="334"/>
      <c r="F470" s="334"/>
      <c r="G470" s="334"/>
      <c r="H470" s="334"/>
      <c r="I470" s="334"/>
      <c r="J470" s="334"/>
      <c r="K470" s="334"/>
      <c r="L470" s="334"/>
      <c r="M470" s="334"/>
      <c r="N470" s="334"/>
      <c r="O470" s="334"/>
      <c r="P470" s="334"/>
      <c r="Q470" s="334"/>
      <c r="R470" s="334"/>
      <c r="S470" s="334"/>
      <c r="T470" s="334"/>
      <c r="U470" s="335"/>
      <c r="V470" s="247" t="e">
        <f>VLOOKUP(E470,Лист4!A$2:G$395,7,FALSE)</f>
        <v>#N/A</v>
      </c>
      <c r="W470" s="247" t="e">
        <f>IF(ISNA(V470),VLOOKUP(E470,категория!A$42:C$74,3,),6.94+R470*8.333/VLOOKUP(V470,категория!A$42:C$74,2,))</f>
        <v>#N/A</v>
      </c>
    </row>
    <row r="471" spans="1:23" ht="15.75">
      <c r="A471" s="277">
        <v>43851.333333333336</v>
      </c>
      <c r="B471" s="277">
        <v>43851.354166666664</v>
      </c>
      <c r="C471" s="277">
        <f>B471-A471</f>
        <v>2.0833333328482695E-2</v>
      </c>
      <c r="D471" s="278">
        <v>2.0833333333333332E-2</v>
      </c>
      <c r="E471" s="329" t="s">
        <v>22</v>
      </c>
      <c r="F471" s="330"/>
      <c r="G471" s="330"/>
      <c r="H471" s="330"/>
      <c r="I471" s="330"/>
      <c r="J471" s="330"/>
      <c r="K471" s="330"/>
      <c r="L471" s="330"/>
      <c r="M471" s="330"/>
      <c r="N471" s="330"/>
      <c r="O471" s="330"/>
      <c r="P471" s="330"/>
      <c r="Q471" s="330"/>
      <c r="R471" s="330"/>
      <c r="S471" s="330"/>
      <c r="T471" s="330"/>
      <c r="U471" s="331"/>
      <c r="V471" s="247" t="e">
        <f>VLOOKUP(E471,Лист4!A$2:G$395,7,FALSE)</f>
        <v>#N/A</v>
      </c>
      <c r="W471" s="247">
        <f>IF(ISNA(V471),VLOOKUP(E471,категория!A$42:C$74,3,),6.94+R471*8.333/VLOOKUP(V471,категория!A$42:C$74,2,))</f>
        <v>4.17</v>
      </c>
    </row>
    <row r="472" spans="1:23" ht="15.75">
      <c r="A472" s="277">
        <v>43851.354166666664</v>
      </c>
      <c r="B472" s="277">
        <v>43851.375</v>
      </c>
      <c r="C472" s="277">
        <f t="shared" ref="C472:C486" si="23">B472-A472</f>
        <v>2.0833333335758653E-2</v>
      </c>
      <c r="D472" s="278">
        <v>3.472222222222222E-3</v>
      </c>
      <c r="E472" s="329" t="s">
        <v>327</v>
      </c>
      <c r="F472" s="330"/>
      <c r="G472" s="330"/>
      <c r="H472" s="330"/>
      <c r="I472" s="330"/>
      <c r="J472" s="330"/>
      <c r="K472" s="330"/>
      <c r="L472" s="330"/>
      <c r="M472" s="330"/>
      <c r="N472" s="330"/>
      <c r="O472" s="330"/>
      <c r="P472" s="330"/>
      <c r="Q472" s="330"/>
      <c r="R472" s="330"/>
      <c r="S472" s="330"/>
      <c r="T472" s="330"/>
      <c r="U472" s="331"/>
      <c r="V472" s="247" t="e">
        <f>VLOOKUP(E472,Лист4!A$2:G$395,7,FALSE)</f>
        <v>#N/A</v>
      </c>
      <c r="W472" s="247">
        <f>8.33*0.5</f>
        <v>4.165</v>
      </c>
    </row>
    <row r="473" spans="1:23" ht="132">
      <c r="A473" s="277">
        <v>43851.375</v>
      </c>
      <c r="B473" s="277">
        <v>43851.416666666664</v>
      </c>
      <c r="C473" s="277">
        <f t="shared" si="23"/>
        <v>4.1666666664241347E-2</v>
      </c>
      <c r="D473" s="278">
        <v>4.1666666666666664E-2</v>
      </c>
      <c r="E473" s="279">
        <v>3479</v>
      </c>
      <c r="F473" s="280" t="s">
        <v>510</v>
      </c>
      <c r="G473" s="280" t="s">
        <v>511</v>
      </c>
      <c r="H473" s="281" t="s">
        <v>252</v>
      </c>
      <c r="I473" s="282">
        <v>43819</v>
      </c>
      <c r="J473" s="283"/>
      <c r="K473" s="279" t="s">
        <v>227</v>
      </c>
      <c r="L473" s="284"/>
      <c r="M473" s="285"/>
      <c r="N473" s="280" t="s">
        <v>48</v>
      </c>
      <c r="O473" s="279">
        <v>200</v>
      </c>
      <c r="P473" s="279" t="s">
        <v>272</v>
      </c>
      <c r="Q473" s="286" t="s">
        <v>229</v>
      </c>
      <c r="R473" s="287">
        <v>1090</v>
      </c>
      <c r="S473" s="287">
        <v>1430</v>
      </c>
      <c r="T473" s="283" t="s">
        <v>232</v>
      </c>
      <c r="U473" s="287" t="s">
        <v>77</v>
      </c>
      <c r="V473" s="247" t="str">
        <f>VLOOKUP(E473,Лист4!A$2:G$395,7,FALSE)</f>
        <v>мел+офсет</v>
      </c>
      <c r="W473" s="247">
        <f>IF(ISNA(V473),VLOOKUP(E473,категория!A$42:C$74,3,),6.94+R473*8.333/VLOOKUP(V473,категория!A$42:C$74,2,))</f>
        <v>8.7565939999999998</v>
      </c>
    </row>
    <row r="474" spans="1:23" ht="15.75">
      <c r="A474" s="277">
        <v>43851.416666666664</v>
      </c>
      <c r="B474" s="277">
        <v>43851.423611111109</v>
      </c>
      <c r="C474" s="277">
        <f t="shared" si="23"/>
        <v>6.9444444452528842E-3</v>
      </c>
      <c r="D474" s="278">
        <v>6.9444444444444441E-3</v>
      </c>
      <c r="E474" s="329" t="s">
        <v>170</v>
      </c>
      <c r="F474" s="330"/>
      <c r="G474" s="330"/>
      <c r="H474" s="330"/>
      <c r="I474" s="330"/>
      <c r="J474" s="330"/>
      <c r="K474" s="330"/>
      <c r="L474" s="330"/>
      <c r="M474" s="330"/>
      <c r="N474" s="330"/>
      <c r="O474" s="330"/>
      <c r="P474" s="330"/>
      <c r="Q474" s="330"/>
      <c r="R474" s="330"/>
      <c r="S474" s="330"/>
      <c r="T474" s="330"/>
      <c r="U474" s="331"/>
      <c r="V474" s="247" t="e">
        <f>VLOOKUP(E474,Лист4!A$2:G$395,7,FALSE)</f>
        <v>#N/A</v>
      </c>
      <c r="W474" s="247">
        <f>IF(ISNA(V474),VLOOKUP(E474,категория!A$42:C$74,3,),6.94+R474*8.333/VLOOKUP(V474,категория!A$42:C$74,2,))</f>
        <v>2.085</v>
      </c>
    </row>
    <row r="475" spans="1:23" ht="15.75">
      <c r="A475" s="277">
        <v>43851.423611111109</v>
      </c>
      <c r="B475" s="277">
        <v>43851.465277777781</v>
      </c>
      <c r="C475" s="277">
        <f t="shared" si="23"/>
        <v>4.1666666671517305E-2</v>
      </c>
      <c r="D475" s="278">
        <v>3.472222222222222E-3</v>
      </c>
      <c r="E475" s="329" t="s">
        <v>237</v>
      </c>
      <c r="F475" s="330"/>
      <c r="G475" s="330"/>
      <c r="H475" s="330"/>
      <c r="I475" s="330"/>
      <c r="J475" s="330"/>
      <c r="K475" s="330"/>
      <c r="L475" s="330"/>
      <c r="M475" s="330"/>
      <c r="N475" s="330"/>
      <c r="O475" s="330"/>
      <c r="P475" s="330"/>
      <c r="Q475" s="330"/>
      <c r="R475" s="330"/>
      <c r="S475" s="330"/>
      <c r="T475" s="330"/>
      <c r="U475" s="331"/>
      <c r="V475" s="247" t="e">
        <f>VLOOKUP(E475,Лист4!A$2:G$395,7,FALSE)</f>
        <v>#N/A</v>
      </c>
      <c r="W475" s="247">
        <f>IF(ISNA(V475),VLOOKUP(E475,категория!A$42:C$74,3,),6.94+R475*8.333/VLOOKUP(V475,категория!A$42:C$74,2,))</f>
        <v>5.5553333333333335</v>
      </c>
    </row>
    <row r="476" spans="1:23" ht="132">
      <c r="A476" s="277">
        <v>43851.465277777781</v>
      </c>
      <c r="B476" s="277">
        <v>43851.5</v>
      </c>
      <c r="C476" s="277">
        <f t="shared" si="23"/>
        <v>3.4722222218988463E-2</v>
      </c>
      <c r="D476" s="278">
        <v>3.4722222222222224E-2</v>
      </c>
      <c r="E476" s="279">
        <v>3479</v>
      </c>
      <c r="F476" s="280" t="s">
        <v>510</v>
      </c>
      <c r="G476" s="280" t="s">
        <v>511</v>
      </c>
      <c r="H476" s="281" t="s">
        <v>251</v>
      </c>
      <c r="I476" s="282">
        <v>43819</v>
      </c>
      <c r="J476" s="283"/>
      <c r="K476" s="279" t="s">
        <v>240</v>
      </c>
      <c r="L476" s="284"/>
      <c r="M476" s="285"/>
      <c r="N476" s="280" t="s">
        <v>48</v>
      </c>
      <c r="O476" s="279">
        <v>200</v>
      </c>
      <c r="P476" s="279" t="s">
        <v>272</v>
      </c>
      <c r="Q476" s="286" t="s">
        <v>229</v>
      </c>
      <c r="R476" s="287">
        <v>1200</v>
      </c>
      <c r="S476" s="287">
        <v>1430</v>
      </c>
      <c r="T476" s="283" t="s">
        <v>232</v>
      </c>
      <c r="U476" s="287" t="s">
        <v>77</v>
      </c>
      <c r="V476" s="247" t="str">
        <f>VLOOKUP(E476,Лист4!A$2:G$395,7,FALSE)</f>
        <v>мел+офсет</v>
      </c>
      <c r="W476" s="247">
        <f>IF(ISNA(V476),VLOOKUP(E476,категория!A$42:C$74,3,),6.94+R476*8.333/VLOOKUP(V476,категория!A$42:C$74,2,))</f>
        <v>8.9399200000000008</v>
      </c>
    </row>
    <row r="477" spans="1:23" ht="15.75">
      <c r="A477" s="277">
        <v>43851.5</v>
      </c>
      <c r="B477" s="277">
        <v>43851.506944444445</v>
      </c>
      <c r="C477" s="277">
        <f t="shared" si="23"/>
        <v>6.9444444452528842E-3</v>
      </c>
      <c r="D477" s="278">
        <v>1.0416666666666666E-2</v>
      </c>
      <c r="E477" s="329" t="s">
        <v>170</v>
      </c>
      <c r="F477" s="330"/>
      <c r="G477" s="330"/>
      <c r="H477" s="330"/>
      <c r="I477" s="330"/>
      <c r="J477" s="330"/>
      <c r="K477" s="330"/>
      <c r="L477" s="330"/>
      <c r="M477" s="330"/>
      <c r="N477" s="330"/>
      <c r="O477" s="330"/>
      <c r="P477" s="330"/>
      <c r="Q477" s="330"/>
      <c r="R477" s="330"/>
      <c r="S477" s="330"/>
      <c r="T477" s="330"/>
      <c r="U477" s="331"/>
      <c r="V477" s="247" t="e">
        <f>VLOOKUP(E477,Лист4!A$2:G$395,7,FALSE)</f>
        <v>#N/A</v>
      </c>
      <c r="W477" s="247">
        <f>IF(ISNA(V477),VLOOKUP(E477,категория!A$42:C$74,3,),6.94+R477*8.333/VLOOKUP(V477,категория!A$42:C$74,2,))</f>
        <v>2.085</v>
      </c>
    </row>
    <row r="478" spans="1:23" ht="15.75">
      <c r="A478" s="277">
        <v>43851.506944444445</v>
      </c>
      <c r="B478" s="277">
        <v>43851.520833333336</v>
      </c>
      <c r="C478" s="277">
        <f t="shared" si="23"/>
        <v>1.3888888890505768E-2</v>
      </c>
      <c r="D478" s="278">
        <v>2.0833333333333332E-2</v>
      </c>
      <c r="E478" s="329" t="s">
        <v>23</v>
      </c>
      <c r="F478" s="330"/>
      <c r="G478" s="330"/>
      <c r="H478" s="330"/>
      <c r="I478" s="330"/>
      <c r="J478" s="330"/>
      <c r="K478" s="330"/>
      <c r="L478" s="330"/>
      <c r="M478" s="330"/>
      <c r="N478" s="330"/>
      <c r="O478" s="330"/>
      <c r="P478" s="330"/>
      <c r="Q478" s="330"/>
      <c r="R478" s="330"/>
      <c r="S478" s="330"/>
      <c r="T478" s="330"/>
      <c r="U478" s="331"/>
      <c r="V478" s="247" t="e">
        <f>VLOOKUP(E478,Лист4!A$2:G$395,7,FALSE)</f>
        <v>#N/A</v>
      </c>
      <c r="W478" s="247">
        <f>IF(ISNA(V478),VLOOKUP(E478,категория!A$42:C$74,3,),6.94+R478*8.333/VLOOKUP(V478,категория!A$42:C$74,2,))</f>
        <v>2.78</v>
      </c>
    </row>
    <row r="479" spans="1:23" ht="15.75">
      <c r="A479" s="277">
        <v>43851.520833333336</v>
      </c>
      <c r="B479" s="277">
        <v>43851.576388888891</v>
      </c>
      <c r="C479" s="277">
        <f t="shared" si="23"/>
        <v>5.5555555554747116E-2</v>
      </c>
      <c r="D479" s="278">
        <v>3.472222222222222E-3</v>
      </c>
      <c r="E479" s="329" t="s">
        <v>327</v>
      </c>
      <c r="F479" s="330"/>
      <c r="G479" s="330"/>
      <c r="H479" s="330"/>
      <c r="I479" s="330"/>
      <c r="J479" s="330"/>
      <c r="K479" s="330"/>
      <c r="L479" s="330"/>
      <c r="M479" s="330"/>
      <c r="N479" s="330"/>
      <c r="O479" s="330"/>
      <c r="P479" s="330"/>
      <c r="Q479" s="330"/>
      <c r="R479" s="330"/>
      <c r="S479" s="330"/>
      <c r="T479" s="330"/>
      <c r="U479" s="331"/>
      <c r="V479" s="247" t="e">
        <f>VLOOKUP(E479,Лист4!A$2:G$395,7,FALSE)</f>
        <v>#N/A</v>
      </c>
      <c r="W479" s="247">
        <f>8.33*1.333</f>
        <v>11.10389</v>
      </c>
    </row>
    <row r="480" spans="1:23" ht="48">
      <c r="A480" s="277">
        <v>43851.576388888891</v>
      </c>
      <c r="B480" s="277">
        <v>43851.590277777781</v>
      </c>
      <c r="C480" s="277">
        <f t="shared" si="23"/>
        <v>1.3888888890505768E-2</v>
      </c>
      <c r="D480" s="278">
        <v>1.3888888888888888E-2</v>
      </c>
      <c r="E480" s="279">
        <v>148</v>
      </c>
      <c r="F480" s="280" t="s">
        <v>270</v>
      </c>
      <c r="G480" s="280" t="s">
        <v>512</v>
      </c>
      <c r="H480" s="281" t="s">
        <v>258</v>
      </c>
      <c r="I480" s="282">
        <v>43854</v>
      </c>
      <c r="J480" s="283"/>
      <c r="K480" s="279" t="s">
        <v>227</v>
      </c>
      <c r="L480" s="284"/>
      <c r="M480" s="285"/>
      <c r="N480" s="280" t="s">
        <v>41</v>
      </c>
      <c r="O480" s="279">
        <v>250</v>
      </c>
      <c r="P480" s="279" t="s">
        <v>236</v>
      </c>
      <c r="Q480" s="286" t="s">
        <v>229</v>
      </c>
      <c r="R480" s="287">
        <v>2500</v>
      </c>
      <c r="S480" s="287">
        <v>1787</v>
      </c>
      <c r="T480" s="283" t="s">
        <v>232</v>
      </c>
      <c r="U480" s="287" t="s">
        <v>77</v>
      </c>
      <c r="V480" s="247" t="str">
        <f>VLOOKUP(E480,Лист4!A$2:G$395,7,FALSE)</f>
        <v>мел+офсет</v>
      </c>
      <c r="W480" s="247">
        <f>IF(ISNA(V480),VLOOKUP(E480,категория!A$42:C$74,3,),6.94+R480*8.333/VLOOKUP(V480,категория!A$42:C$74,2,))</f>
        <v>11.1065</v>
      </c>
    </row>
    <row r="481" spans="1:23" ht="15.75">
      <c r="A481" s="277">
        <v>43851.590277777781</v>
      </c>
      <c r="B481" s="277">
        <v>43851.597222222219</v>
      </c>
      <c r="C481" s="277">
        <f t="shared" si="23"/>
        <v>6.9444444379769266E-3</v>
      </c>
      <c r="D481" s="278">
        <v>6.9444444444444441E-3</v>
      </c>
      <c r="E481" s="329" t="s">
        <v>170</v>
      </c>
      <c r="F481" s="330"/>
      <c r="G481" s="330"/>
      <c r="H481" s="330"/>
      <c r="I481" s="330"/>
      <c r="J481" s="330"/>
      <c r="K481" s="330"/>
      <c r="L481" s="330"/>
      <c r="M481" s="330"/>
      <c r="N481" s="330"/>
      <c r="O481" s="330"/>
      <c r="P481" s="330"/>
      <c r="Q481" s="330"/>
      <c r="R481" s="330"/>
      <c r="S481" s="330"/>
      <c r="T481" s="330"/>
      <c r="U481" s="331"/>
      <c r="V481" s="247" t="e">
        <f>VLOOKUP(E481,Лист4!A$2:G$395,7,FALSE)</f>
        <v>#N/A</v>
      </c>
      <c r="W481" s="247">
        <f>IF(ISNA(V481),VLOOKUP(E481,категория!A$42:C$74,3,),6.94+R481*8.333/VLOOKUP(V481,категория!A$42:C$74,2,))</f>
        <v>2.085</v>
      </c>
    </row>
    <row r="482" spans="1:23" ht="15.75">
      <c r="A482" s="277">
        <v>43851.597222222219</v>
      </c>
      <c r="B482" s="277">
        <v>43851.631944444445</v>
      </c>
      <c r="C482" s="277">
        <f t="shared" si="23"/>
        <v>3.4722222226264421E-2</v>
      </c>
      <c r="D482" s="278">
        <v>3.472222222222222E-3</v>
      </c>
      <c r="E482" s="329" t="s">
        <v>327</v>
      </c>
      <c r="F482" s="330"/>
      <c r="G482" s="330"/>
      <c r="H482" s="330"/>
      <c r="I482" s="330"/>
      <c r="J482" s="330"/>
      <c r="K482" s="330"/>
      <c r="L482" s="330"/>
      <c r="M482" s="330"/>
      <c r="N482" s="330"/>
      <c r="O482" s="330"/>
      <c r="P482" s="330"/>
      <c r="Q482" s="330"/>
      <c r="R482" s="330"/>
      <c r="S482" s="330"/>
      <c r="T482" s="330"/>
      <c r="U482" s="331"/>
      <c r="V482" s="247" t="e">
        <f>VLOOKUP(E482,Лист4!A$2:G$395,7,FALSE)</f>
        <v>#N/A</v>
      </c>
      <c r="W482" s="247">
        <f>8.333*0.86</f>
        <v>7.1663800000000002</v>
      </c>
    </row>
    <row r="483" spans="1:23" ht="48">
      <c r="A483" s="277">
        <v>43851.631944444445</v>
      </c>
      <c r="B483" s="277">
        <v>43851.659722222219</v>
      </c>
      <c r="C483" s="277">
        <f t="shared" si="23"/>
        <v>2.7777777773735579E-2</v>
      </c>
      <c r="D483" s="278">
        <v>2.7777777777777776E-2</v>
      </c>
      <c r="E483" s="279">
        <v>148</v>
      </c>
      <c r="F483" s="280" t="s">
        <v>270</v>
      </c>
      <c r="G483" s="280" t="s">
        <v>512</v>
      </c>
      <c r="H483" s="281" t="s">
        <v>259</v>
      </c>
      <c r="I483" s="282">
        <v>43854</v>
      </c>
      <c r="J483" s="283"/>
      <c r="K483" s="279" t="s">
        <v>227</v>
      </c>
      <c r="L483" s="284"/>
      <c r="M483" s="285"/>
      <c r="N483" s="280" t="s">
        <v>41</v>
      </c>
      <c r="O483" s="279">
        <v>250</v>
      </c>
      <c r="P483" s="279" t="s">
        <v>236</v>
      </c>
      <c r="Q483" s="286" t="s">
        <v>229</v>
      </c>
      <c r="R483" s="287">
        <v>2700</v>
      </c>
      <c r="S483" s="287">
        <v>3573</v>
      </c>
      <c r="T483" s="283" t="s">
        <v>232</v>
      </c>
      <c r="U483" s="287" t="s">
        <v>77</v>
      </c>
      <c r="V483" s="247" t="str">
        <f>VLOOKUP(E483,Лист4!A$2:G$395,7,FALSE)</f>
        <v>мел+офсет</v>
      </c>
      <c r="W483" s="247">
        <f>IF(ISNA(V483),VLOOKUP(E483,категория!A$42:C$74,3,),R483*8.333/VLOOKUP(V483,категория!A$42:C$74,2,))</f>
        <v>4.4998200000000006</v>
      </c>
    </row>
    <row r="484" spans="1:23" ht="15.75">
      <c r="A484" s="277">
        <v>43851.659722222219</v>
      </c>
      <c r="B484" s="277">
        <v>43851.666666666664</v>
      </c>
      <c r="C484" s="277">
        <f t="shared" si="23"/>
        <v>6.9444444452528842E-3</v>
      </c>
      <c r="D484" s="278">
        <v>1.0416666666666666E-2</v>
      </c>
      <c r="E484" s="329" t="s">
        <v>170</v>
      </c>
      <c r="F484" s="330"/>
      <c r="G484" s="330"/>
      <c r="H484" s="330"/>
      <c r="I484" s="330"/>
      <c r="J484" s="330"/>
      <c r="K484" s="330"/>
      <c r="L484" s="330"/>
      <c r="M484" s="330"/>
      <c r="N484" s="330"/>
      <c r="O484" s="330"/>
      <c r="P484" s="330"/>
      <c r="Q484" s="330"/>
      <c r="R484" s="330"/>
      <c r="S484" s="330"/>
      <c r="T484" s="330"/>
      <c r="U484" s="331"/>
      <c r="V484" s="247" t="e">
        <f>VLOOKUP(E484,Лист4!A$2:G$395,7,FALSE)</f>
        <v>#N/A</v>
      </c>
      <c r="W484" s="247">
        <f>IF(ISNA(V484),VLOOKUP(E484,категория!A$42:C$74,3,),6.94+R484*8.333/VLOOKUP(V484,категория!A$42:C$74,2,))</f>
        <v>2.085</v>
      </c>
    </row>
    <row r="485" spans="1:23" ht="15.75">
      <c r="A485" s="277">
        <v>43851.666666666664</v>
      </c>
      <c r="B485" s="277">
        <v>43851.8125</v>
      </c>
      <c r="C485" s="277">
        <f t="shared" si="23"/>
        <v>0.14583333333575865</v>
      </c>
      <c r="D485" s="278">
        <v>4.1666666666666664E-2</v>
      </c>
      <c r="E485" s="329" t="s">
        <v>7</v>
      </c>
      <c r="F485" s="330"/>
      <c r="G485" s="330"/>
      <c r="H485" s="330"/>
      <c r="I485" s="330"/>
      <c r="J485" s="330"/>
      <c r="K485" s="330"/>
      <c r="L485" s="330"/>
      <c r="M485" s="330"/>
      <c r="N485" s="330"/>
      <c r="O485" s="330"/>
      <c r="P485" s="330"/>
      <c r="Q485" s="330"/>
      <c r="R485" s="330"/>
      <c r="S485" s="330"/>
      <c r="T485" s="330"/>
      <c r="U485" s="331"/>
      <c r="V485" s="247" t="e">
        <f>VLOOKUP(E485,Лист4!A$2:G$395,7,FALSE)</f>
        <v>#N/A</v>
      </c>
      <c r="W485" s="247">
        <f>IF(ISNA(V485),VLOOKUP(E485,категория!A$42:C$74,3,),6.94+R485*8.333/VLOOKUP(V485,категория!A$42:C$74,2,))*3.5</f>
        <v>29.166549999999997</v>
      </c>
    </row>
    <row r="486" spans="1:23" ht="15.75">
      <c r="A486" s="277">
        <v>43851.8125</v>
      </c>
      <c r="B486" s="277">
        <v>43851.833333333336</v>
      </c>
      <c r="C486" s="277">
        <f t="shared" si="23"/>
        <v>2.0833333335758653E-2</v>
      </c>
      <c r="D486" s="278">
        <v>2.0833333333333332E-2</v>
      </c>
      <c r="E486" s="329" t="s">
        <v>22</v>
      </c>
      <c r="F486" s="330"/>
      <c r="G486" s="330"/>
      <c r="H486" s="330"/>
      <c r="I486" s="330"/>
      <c r="J486" s="330"/>
      <c r="K486" s="330"/>
      <c r="L486" s="330"/>
      <c r="M486" s="330"/>
      <c r="N486" s="330"/>
      <c r="O486" s="330"/>
      <c r="P486" s="330"/>
      <c r="Q486" s="330"/>
      <c r="R486" s="330"/>
      <c r="S486" s="330"/>
      <c r="T486" s="330"/>
      <c r="U486" s="331"/>
      <c r="V486" s="247" t="e">
        <f>VLOOKUP(E486,Лист4!A$2:G$395,7,FALSE)</f>
        <v>#N/A</v>
      </c>
      <c r="W486" s="247">
        <f>IF(ISNA(V486),VLOOKUP(E486,категория!A$42:C$74,3,),6.94+R486*8.333/VLOOKUP(V486,категория!A$42:C$74,2,))</f>
        <v>4.17</v>
      </c>
    </row>
    <row r="487" spans="1:23" ht="15.75">
      <c r="A487" s="288">
        <v>43851.833333333336</v>
      </c>
      <c r="B487" s="332" t="s">
        <v>513</v>
      </c>
      <c r="C487" s="333"/>
      <c r="D487" s="334"/>
      <c r="E487" s="334"/>
      <c r="F487" s="334"/>
      <c r="G487" s="334"/>
      <c r="H487" s="334"/>
      <c r="I487" s="334"/>
      <c r="J487" s="334"/>
      <c r="K487" s="334"/>
      <c r="L487" s="334"/>
      <c r="M487" s="334"/>
      <c r="N487" s="334"/>
      <c r="O487" s="334"/>
      <c r="P487" s="334"/>
      <c r="Q487" s="334"/>
      <c r="R487" s="334"/>
      <c r="S487" s="334"/>
      <c r="T487" s="334"/>
      <c r="U487" s="335"/>
      <c r="V487" s="247" t="e">
        <f>VLOOKUP(E487,Лист4!A$2:G$395,7,FALSE)</f>
        <v>#N/A</v>
      </c>
      <c r="W487" s="52">
        <f>SUM(W471:W486)</f>
        <v>109.91998733333332</v>
      </c>
    </row>
    <row r="488" spans="1:23" ht="15.75">
      <c r="A488" s="277">
        <v>43851.833333333336</v>
      </c>
      <c r="B488" s="277">
        <v>43851.854166666664</v>
      </c>
      <c r="C488" s="277">
        <f>B488-A488</f>
        <v>2.0833333328482695E-2</v>
      </c>
      <c r="D488" s="278">
        <v>2.0833333333333332E-2</v>
      </c>
      <c r="E488" s="329" t="s">
        <v>22</v>
      </c>
      <c r="F488" s="330"/>
      <c r="G488" s="330"/>
      <c r="H488" s="330"/>
      <c r="I488" s="330"/>
      <c r="J488" s="330"/>
      <c r="K488" s="330"/>
      <c r="L488" s="330"/>
      <c r="M488" s="330"/>
      <c r="N488" s="330"/>
      <c r="O488" s="330"/>
      <c r="P488" s="330"/>
      <c r="Q488" s="330"/>
      <c r="R488" s="330"/>
      <c r="S488" s="330"/>
      <c r="T488" s="330"/>
      <c r="U488" s="331"/>
      <c r="V488" s="247" t="e">
        <f>VLOOKUP(E488,Лист4!A$2:G$395,7,FALSE)</f>
        <v>#N/A</v>
      </c>
      <c r="W488" s="247">
        <f>IF(ISNA(V488),VLOOKUP(E488,категория!A$42:C$74,3,),6.94+R488*8.333/VLOOKUP(V488,категория!A$42:C$74,2,))</f>
        <v>4.17</v>
      </c>
    </row>
    <row r="489" spans="1:23" ht="15.75">
      <c r="A489" s="277">
        <v>43851.854166666664</v>
      </c>
      <c r="B489" s="277">
        <v>43851.888888888891</v>
      </c>
      <c r="C489" s="277">
        <f t="shared" ref="C489:C510" si="24">B489-A489</f>
        <v>3.4722222226264421E-2</v>
      </c>
      <c r="D489" s="278">
        <v>3.472222222222222E-3</v>
      </c>
      <c r="E489" s="329" t="s">
        <v>327</v>
      </c>
      <c r="F489" s="330"/>
      <c r="G489" s="330"/>
      <c r="H489" s="330"/>
      <c r="I489" s="330"/>
      <c r="J489" s="330"/>
      <c r="K489" s="330"/>
      <c r="L489" s="330"/>
      <c r="M489" s="330"/>
      <c r="N489" s="330"/>
      <c r="O489" s="330"/>
      <c r="P489" s="330"/>
      <c r="Q489" s="330"/>
      <c r="R489" s="330"/>
      <c r="S489" s="330"/>
      <c r="T489" s="330"/>
      <c r="U489" s="331"/>
      <c r="V489" s="247" t="e">
        <f>VLOOKUP(E489,Лист4!A$2:G$395,7,FALSE)</f>
        <v>#N/A</v>
      </c>
      <c r="W489" s="247">
        <f>8.33*0.86</f>
        <v>7.1638000000000002</v>
      </c>
    </row>
    <row r="490" spans="1:23" ht="72">
      <c r="A490" s="277">
        <v>43851.888888888891</v>
      </c>
      <c r="B490" s="277">
        <v>43851.923611111109</v>
      </c>
      <c r="C490" s="277">
        <f t="shared" si="24"/>
        <v>3.4722222218988463E-2</v>
      </c>
      <c r="D490" s="278">
        <v>3.4722222222222224E-2</v>
      </c>
      <c r="E490" s="279">
        <v>114</v>
      </c>
      <c r="F490" s="280" t="s">
        <v>257</v>
      </c>
      <c r="G490" s="280" t="s">
        <v>514</v>
      </c>
      <c r="H490" s="281" t="s">
        <v>226</v>
      </c>
      <c r="I490" s="282">
        <v>43857</v>
      </c>
      <c r="J490" s="283"/>
      <c r="K490" s="279" t="s">
        <v>227</v>
      </c>
      <c r="L490" s="284"/>
      <c r="M490" s="285" t="s">
        <v>276</v>
      </c>
      <c r="N490" s="280" t="s">
        <v>35</v>
      </c>
      <c r="O490" s="279">
        <v>250</v>
      </c>
      <c r="P490" s="279" t="s">
        <v>228</v>
      </c>
      <c r="Q490" s="286" t="s">
        <v>229</v>
      </c>
      <c r="R490" s="287">
        <v>2120</v>
      </c>
      <c r="S490" s="287">
        <v>2600</v>
      </c>
      <c r="T490" s="283" t="s">
        <v>232</v>
      </c>
      <c r="U490" s="287" t="s">
        <v>76</v>
      </c>
      <c r="V490" s="247" t="str">
        <f>VLOOKUP(E490,Лист4!A$2:G$395,7,FALSE)</f>
        <v>картон до 250</v>
      </c>
      <c r="W490" s="247">
        <f>IF(ISNA(V490),VLOOKUP(E490,категория!A$42:C$74,3,),6.94+R490*8.333/VLOOKUP(V490,категория!A$42:C$74,2,))</f>
        <v>12.293321212121212</v>
      </c>
    </row>
    <row r="491" spans="1:23" ht="15.75">
      <c r="A491" s="277">
        <v>43851.923611111109</v>
      </c>
      <c r="B491" s="277">
        <v>43851.927083333336</v>
      </c>
      <c r="C491" s="277">
        <f t="shared" si="24"/>
        <v>3.4722222262644209E-3</v>
      </c>
      <c r="D491" s="278">
        <v>1.0416666666666666E-2</v>
      </c>
      <c r="E491" s="329" t="s">
        <v>170</v>
      </c>
      <c r="F491" s="330"/>
      <c r="G491" s="330"/>
      <c r="H491" s="330"/>
      <c r="I491" s="330"/>
      <c r="J491" s="330"/>
      <c r="K491" s="330"/>
      <c r="L491" s="330"/>
      <c r="M491" s="330"/>
      <c r="N491" s="330"/>
      <c r="O491" s="330"/>
      <c r="P491" s="330"/>
      <c r="Q491" s="330"/>
      <c r="R491" s="330"/>
      <c r="S491" s="330"/>
      <c r="T491" s="330"/>
      <c r="U491" s="331"/>
      <c r="V491" s="247" t="e">
        <f>VLOOKUP(E491,Лист4!A$2:G$395,7,FALSE)</f>
        <v>#N/A</v>
      </c>
      <c r="W491" s="247">
        <f>IF(ISNA(V491),VLOOKUP(E491,категория!A$42:C$74,3,),6.94+R491*8.333/VLOOKUP(V491,категория!A$42:C$74,2,))</f>
        <v>2.085</v>
      </c>
    </row>
    <row r="492" spans="1:23" ht="15.75">
      <c r="A492" s="277">
        <v>43851.927083333336</v>
      </c>
      <c r="B492" s="277">
        <v>43851.975694444445</v>
      </c>
      <c r="C492" s="277">
        <f t="shared" si="24"/>
        <v>4.8611111109494232E-2</v>
      </c>
      <c r="D492" s="278">
        <v>4.1666666666666664E-2</v>
      </c>
      <c r="E492" s="329" t="s">
        <v>231</v>
      </c>
      <c r="F492" s="330"/>
      <c r="G492" s="330"/>
      <c r="H492" s="330"/>
      <c r="I492" s="330"/>
      <c r="J492" s="330"/>
      <c r="K492" s="330"/>
      <c r="L492" s="330"/>
      <c r="M492" s="330"/>
      <c r="N492" s="330"/>
      <c r="O492" s="330"/>
      <c r="P492" s="330"/>
      <c r="Q492" s="330"/>
      <c r="R492" s="330"/>
      <c r="S492" s="330"/>
      <c r="T492" s="330"/>
      <c r="U492" s="331"/>
      <c r="V492" s="247" t="e">
        <f>VLOOKUP(E492,Лист4!A$2:G$395,7,FALSE)</f>
        <v>#N/A</v>
      </c>
      <c r="W492" s="247">
        <f>8.33*1.16</f>
        <v>9.6627999999999989</v>
      </c>
    </row>
    <row r="493" spans="1:23" ht="60">
      <c r="A493" s="277">
        <v>43851.975694444445</v>
      </c>
      <c r="B493" s="277">
        <v>43851.996527777781</v>
      </c>
      <c r="C493" s="277">
        <f t="shared" si="24"/>
        <v>2.0833333335758653E-2</v>
      </c>
      <c r="D493" s="278">
        <v>2.0833333333333332E-2</v>
      </c>
      <c r="E493" s="279">
        <v>145</v>
      </c>
      <c r="F493" s="280" t="s">
        <v>430</v>
      </c>
      <c r="G493" s="280" t="s">
        <v>515</v>
      </c>
      <c r="H493" s="281" t="s">
        <v>252</v>
      </c>
      <c r="I493" s="282">
        <v>43854</v>
      </c>
      <c r="J493" s="283"/>
      <c r="K493" s="279" t="s">
        <v>227</v>
      </c>
      <c r="L493" s="284"/>
      <c r="M493" s="285"/>
      <c r="N493" s="280" t="s">
        <v>41</v>
      </c>
      <c r="O493" s="279">
        <v>350</v>
      </c>
      <c r="P493" s="279" t="s">
        <v>236</v>
      </c>
      <c r="Q493" s="286" t="s">
        <v>229</v>
      </c>
      <c r="R493" s="287">
        <v>637</v>
      </c>
      <c r="S493" s="287">
        <v>1117</v>
      </c>
      <c r="T493" s="283" t="s">
        <v>232</v>
      </c>
      <c r="U493" s="287" t="s">
        <v>76</v>
      </c>
      <c r="V493" s="247" t="str">
        <f>VLOOKUP(E493,Лист4!A$2:G$395,7,FALSE)</f>
        <v>мел+офсет</v>
      </c>
      <c r="W493" s="247">
        <f>IF(ISNA(V493),VLOOKUP(E493,категория!A$42:C$74,3,),6.94+R493*8.333/VLOOKUP(V493,категория!A$42:C$74,2,))</f>
        <v>8.0016242000000002</v>
      </c>
    </row>
    <row r="494" spans="1:23" ht="15.75">
      <c r="A494" s="277">
        <v>43851.996527777781</v>
      </c>
      <c r="B494" s="277">
        <v>43852</v>
      </c>
      <c r="C494" s="277">
        <f t="shared" si="24"/>
        <v>3.4722222189884633E-3</v>
      </c>
      <c r="D494" s="278">
        <v>1.0416666666666666E-2</v>
      </c>
      <c r="E494" s="329" t="s">
        <v>170</v>
      </c>
      <c r="F494" s="330"/>
      <c r="G494" s="330"/>
      <c r="H494" s="330"/>
      <c r="I494" s="330"/>
      <c r="J494" s="330"/>
      <c r="K494" s="330"/>
      <c r="L494" s="330"/>
      <c r="M494" s="330"/>
      <c r="N494" s="330"/>
      <c r="O494" s="330"/>
      <c r="P494" s="330"/>
      <c r="Q494" s="330"/>
      <c r="R494" s="330"/>
      <c r="S494" s="330"/>
      <c r="T494" s="330"/>
      <c r="U494" s="331"/>
      <c r="V494" s="247" t="e">
        <f>VLOOKUP(E494,Лист4!A$2:G$395,7,FALSE)</f>
        <v>#N/A</v>
      </c>
      <c r="W494" s="247">
        <f>IF(ISNA(V494),VLOOKUP(E494,категория!A$42:C$74,3,),6.94+R494*8.333/VLOOKUP(V494,категория!A$42:C$74,2,))</f>
        <v>2.085</v>
      </c>
    </row>
    <row r="495" spans="1:23" ht="15.75">
      <c r="A495" s="277">
        <v>43852</v>
      </c>
      <c r="B495" s="277">
        <v>43852.020833333336</v>
      </c>
      <c r="C495" s="277">
        <f t="shared" si="24"/>
        <v>2.0833333335758653E-2</v>
      </c>
      <c r="D495" s="278">
        <v>2.0833333333333332E-2</v>
      </c>
      <c r="E495" s="329" t="s">
        <v>23</v>
      </c>
      <c r="F495" s="330"/>
      <c r="G495" s="330"/>
      <c r="H495" s="330"/>
      <c r="I495" s="330"/>
      <c r="J495" s="330"/>
      <c r="K495" s="330"/>
      <c r="L495" s="330"/>
      <c r="M495" s="330"/>
      <c r="N495" s="330"/>
      <c r="O495" s="330"/>
      <c r="P495" s="330"/>
      <c r="Q495" s="330"/>
      <c r="R495" s="330"/>
      <c r="S495" s="330"/>
      <c r="T495" s="330"/>
      <c r="U495" s="331"/>
      <c r="V495" s="247" t="e">
        <f>VLOOKUP(E495,Лист4!A$2:G$395,7,FALSE)</f>
        <v>#N/A</v>
      </c>
      <c r="W495" s="247">
        <f>IF(ISNA(V495),VLOOKUP(E495,категория!A$42:C$74,3,),6.94+R495*8.333/VLOOKUP(V495,категория!A$42:C$74,2,))</f>
        <v>2.78</v>
      </c>
    </row>
    <row r="496" spans="1:23" ht="15.75">
      <c r="A496" s="277">
        <v>43852.020833333336</v>
      </c>
      <c r="B496" s="277">
        <v>43852.0625</v>
      </c>
      <c r="C496" s="277">
        <f t="shared" si="24"/>
        <v>4.1666666664241347E-2</v>
      </c>
      <c r="D496" s="278">
        <v>3.472222222222222E-3</v>
      </c>
      <c r="E496" s="329" t="s">
        <v>237</v>
      </c>
      <c r="F496" s="330"/>
      <c r="G496" s="330"/>
      <c r="H496" s="330"/>
      <c r="I496" s="330"/>
      <c r="J496" s="330"/>
      <c r="K496" s="330"/>
      <c r="L496" s="330"/>
      <c r="M496" s="330"/>
      <c r="N496" s="330"/>
      <c r="O496" s="330"/>
      <c r="P496" s="330"/>
      <c r="Q496" s="330"/>
      <c r="R496" s="330"/>
      <c r="S496" s="330"/>
      <c r="T496" s="330"/>
      <c r="U496" s="331"/>
      <c r="V496" s="247" t="e">
        <f>VLOOKUP(E496,Лист4!A$2:G$395,7,FALSE)</f>
        <v>#N/A</v>
      </c>
      <c r="W496" s="247">
        <f>IF(ISNA(V496),VLOOKUP(E496,категория!A$42:C$74,3,),6.94+R496*8.333/VLOOKUP(V496,категория!A$42:C$74,2,))</f>
        <v>5.5553333333333335</v>
      </c>
    </row>
    <row r="497" spans="1:23" ht="60">
      <c r="A497" s="277">
        <v>43852.0625</v>
      </c>
      <c r="B497" s="277">
        <v>43852.086805555555</v>
      </c>
      <c r="C497" s="277">
        <f t="shared" si="24"/>
        <v>2.4305555554747116E-2</v>
      </c>
      <c r="D497" s="278">
        <v>2.4305555555555556E-2</v>
      </c>
      <c r="E497" s="279">
        <v>145</v>
      </c>
      <c r="F497" s="280" t="s">
        <v>430</v>
      </c>
      <c r="G497" s="280" t="s">
        <v>515</v>
      </c>
      <c r="H497" s="281" t="s">
        <v>251</v>
      </c>
      <c r="I497" s="282">
        <v>43854</v>
      </c>
      <c r="J497" s="283"/>
      <c r="K497" s="279" t="s">
        <v>240</v>
      </c>
      <c r="L497" s="284"/>
      <c r="M497" s="285"/>
      <c r="N497" s="280" t="s">
        <v>41</v>
      </c>
      <c r="O497" s="279">
        <v>350</v>
      </c>
      <c r="P497" s="279" t="s">
        <v>236</v>
      </c>
      <c r="Q497" s="286" t="s">
        <v>229</v>
      </c>
      <c r="R497" s="287">
        <v>790</v>
      </c>
      <c r="S497" s="287">
        <v>1117</v>
      </c>
      <c r="T497" s="283" t="s">
        <v>232</v>
      </c>
      <c r="U497" s="287" t="s">
        <v>76</v>
      </c>
      <c r="V497" s="247" t="str">
        <f>VLOOKUP(E497,Лист4!A$2:G$395,7,FALSE)</f>
        <v>мел+офсет</v>
      </c>
      <c r="W497" s="247">
        <f>IF(ISNA(V497),VLOOKUP(E497,категория!A$42:C$74,3,),6.94+R497*8.333/VLOOKUP(V497,категория!A$42:C$74,2,))</f>
        <v>8.2566140000000008</v>
      </c>
    </row>
    <row r="498" spans="1:23" ht="15.75">
      <c r="A498" s="277">
        <v>43852.086805555555</v>
      </c>
      <c r="B498" s="277">
        <v>43852.090277777781</v>
      </c>
      <c r="C498" s="277">
        <f t="shared" si="24"/>
        <v>3.4722222262644209E-3</v>
      </c>
      <c r="D498" s="278">
        <v>1.0416666666666666E-2</v>
      </c>
      <c r="E498" s="329" t="s">
        <v>170</v>
      </c>
      <c r="F498" s="330"/>
      <c r="G498" s="330"/>
      <c r="H498" s="330"/>
      <c r="I498" s="330"/>
      <c r="J498" s="330"/>
      <c r="K498" s="330"/>
      <c r="L498" s="330"/>
      <c r="M498" s="330"/>
      <c r="N498" s="330"/>
      <c r="O498" s="330"/>
      <c r="P498" s="330"/>
      <c r="Q498" s="330"/>
      <c r="R498" s="330"/>
      <c r="S498" s="330"/>
      <c r="T498" s="330"/>
      <c r="U498" s="331"/>
      <c r="V498" s="247" t="e">
        <f>VLOOKUP(E498,Лист4!A$2:G$395,7,FALSE)</f>
        <v>#N/A</v>
      </c>
      <c r="W498" s="247">
        <f>IF(ISNA(V498),VLOOKUP(E498,категория!A$42:C$74,3,),6.94+R498*8.333/VLOOKUP(V498,категория!A$42:C$74,2,))</f>
        <v>2.085</v>
      </c>
    </row>
    <row r="499" spans="1:23" ht="15.75">
      <c r="A499" s="277">
        <v>43852.090277777781</v>
      </c>
      <c r="B499" s="277">
        <v>43852.107638888891</v>
      </c>
      <c r="C499" s="277">
        <f t="shared" si="24"/>
        <v>1.7361111109494232E-2</v>
      </c>
      <c r="D499" s="278">
        <v>1.7361111111111112E-2</v>
      </c>
      <c r="E499" s="329" t="s">
        <v>3</v>
      </c>
      <c r="F499" s="330"/>
      <c r="G499" s="330"/>
      <c r="H499" s="330"/>
      <c r="I499" s="330"/>
      <c r="J499" s="330"/>
      <c r="K499" s="330"/>
      <c r="L499" s="330"/>
      <c r="M499" s="330"/>
      <c r="N499" s="330"/>
      <c r="O499" s="330"/>
      <c r="P499" s="330"/>
      <c r="Q499" s="330"/>
      <c r="R499" s="330"/>
      <c r="S499" s="330"/>
      <c r="T499" s="330"/>
      <c r="U499" s="331"/>
      <c r="V499" s="247" t="e">
        <f>VLOOKUP(E499,Лист4!A$2:G$395,7,FALSE)</f>
        <v>#N/A</v>
      </c>
      <c r="W499" s="247">
        <f>IF(ISNA(V499),VLOOKUP(E499,категория!A$42:C$74,3,),6.94+R499*8.333/VLOOKUP(V499,категория!A$42:C$74,2,))</f>
        <v>4.17</v>
      </c>
    </row>
    <row r="500" spans="1:23" ht="15.75">
      <c r="A500" s="277">
        <v>43852.107638888891</v>
      </c>
      <c r="B500" s="277">
        <v>43852.118055555555</v>
      </c>
      <c r="C500" s="277">
        <f t="shared" si="24"/>
        <v>1.0416666664241347E-2</v>
      </c>
      <c r="D500" s="278">
        <v>2.0833333333333332E-2</v>
      </c>
      <c r="E500" s="329" t="s">
        <v>8</v>
      </c>
      <c r="F500" s="330"/>
      <c r="G500" s="330"/>
      <c r="H500" s="330"/>
      <c r="I500" s="330"/>
      <c r="J500" s="330"/>
      <c r="K500" s="330"/>
      <c r="L500" s="330"/>
      <c r="M500" s="330"/>
      <c r="N500" s="330"/>
      <c r="O500" s="330"/>
      <c r="P500" s="330"/>
      <c r="Q500" s="330"/>
      <c r="R500" s="330"/>
      <c r="S500" s="330"/>
      <c r="T500" s="330"/>
      <c r="U500" s="331"/>
      <c r="V500" s="247" t="e">
        <f>VLOOKUP(E500,Лист4!A$2:G$395,7,FALSE)</f>
        <v>#N/A</v>
      </c>
      <c r="W500" s="247">
        <f>IF(ISNA(V500),VLOOKUP(E500,категория!A$42:C$74,3,),6.94+R500*8.333/VLOOKUP(V500,категория!A$42:C$74,2,))</f>
        <v>4.17</v>
      </c>
    </row>
    <row r="501" spans="1:23" ht="15.75">
      <c r="A501" s="277">
        <v>43852.118055555555</v>
      </c>
      <c r="B501" s="277">
        <v>43852.145833333336</v>
      </c>
      <c r="C501" s="277">
        <f t="shared" si="24"/>
        <v>2.7777777781011537E-2</v>
      </c>
      <c r="D501" s="278">
        <v>3.472222222222222E-3</v>
      </c>
      <c r="E501" s="329" t="s">
        <v>237</v>
      </c>
      <c r="F501" s="330"/>
      <c r="G501" s="330"/>
      <c r="H501" s="330"/>
      <c r="I501" s="330"/>
      <c r="J501" s="330"/>
      <c r="K501" s="330"/>
      <c r="L501" s="330"/>
      <c r="M501" s="330"/>
      <c r="N501" s="330"/>
      <c r="O501" s="330"/>
      <c r="P501" s="330"/>
      <c r="Q501" s="330"/>
      <c r="R501" s="330"/>
      <c r="S501" s="330"/>
      <c r="T501" s="330"/>
      <c r="U501" s="331"/>
      <c r="V501" s="247" t="e">
        <f>VLOOKUP(E501,Лист4!A$2:G$395,7,FALSE)</f>
        <v>#N/A</v>
      </c>
      <c r="W501" s="247">
        <f>IF(ISNA(V501),VLOOKUP(E501,категория!A$42:C$74,3,),6.94+R501*8.333/VLOOKUP(V501,категория!A$42:C$74,2,))</f>
        <v>5.5553333333333335</v>
      </c>
    </row>
    <row r="502" spans="1:23" ht="60">
      <c r="A502" s="277">
        <v>43852.145833333336</v>
      </c>
      <c r="B502" s="277">
        <v>43852.163194444445</v>
      </c>
      <c r="C502" s="277">
        <f t="shared" si="24"/>
        <v>1.7361111109494232E-2</v>
      </c>
      <c r="D502" s="278">
        <v>1.7361111111111112E-2</v>
      </c>
      <c r="E502" s="279">
        <v>145</v>
      </c>
      <c r="F502" s="280" t="s">
        <v>430</v>
      </c>
      <c r="G502" s="280" t="s">
        <v>515</v>
      </c>
      <c r="H502" s="281" t="s">
        <v>273</v>
      </c>
      <c r="I502" s="282">
        <v>43854</v>
      </c>
      <c r="J502" s="283"/>
      <c r="K502" s="279" t="s">
        <v>256</v>
      </c>
      <c r="L502" s="284" t="s">
        <v>232</v>
      </c>
      <c r="M502" s="285"/>
      <c r="N502" s="280" t="s">
        <v>41</v>
      </c>
      <c r="O502" s="279">
        <v>0</v>
      </c>
      <c r="P502" s="279" t="s">
        <v>236</v>
      </c>
      <c r="Q502" s="286" t="s">
        <v>241</v>
      </c>
      <c r="R502" s="287">
        <v>620</v>
      </c>
      <c r="S502" s="287">
        <v>660</v>
      </c>
      <c r="T502" s="283"/>
      <c r="U502" s="287" t="s">
        <v>76</v>
      </c>
      <c r="V502" s="247" t="str">
        <f>VLOOKUP(E502,Лист4!A$2:G$395,7,FALSE)</f>
        <v>мел+офсет</v>
      </c>
      <c r="W502" s="247">
        <f>IF(ISNA(V502),VLOOKUP(E502,категория!A$42:C$74,3,),6.94/4+R502*8.333/VLOOKUP(V502,категория!A$42:C$74,2,))</f>
        <v>2.7682920000000002</v>
      </c>
    </row>
    <row r="503" spans="1:23" ht="15.75">
      <c r="A503" s="277">
        <v>43852.163194444445</v>
      </c>
      <c r="B503" s="277">
        <v>43852.166666666664</v>
      </c>
      <c r="C503" s="277">
        <f t="shared" si="24"/>
        <v>3.4722222189884633E-3</v>
      </c>
      <c r="D503" s="278">
        <v>1.0416666666666666E-2</v>
      </c>
      <c r="E503" s="329" t="s">
        <v>170</v>
      </c>
      <c r="F503" s="330"/>
      <c r="G503" s="330"/>
      <c r="H503" s="330"/>
      <c r="I503" s="330"/>
      <c r="J503" s="330"/>
      <c r="K503" s="330"/>
      <c r="L503" s="330"/>
      <c r="M503" s="330"/>
      <c r="N503" s="330"/>
      <c r="O503" s="330"/>
      <c r="P503" s="330"/>
      <c r="Q503" s="330"/>
      <c r="R503" s="330"/>
      <c r="S503" s="330"/>
      <c r="T503" s="330"/>
      <c r="U503" s="331"/>
      <c r="V503" s="247" t="e">
        <f>VLOOKUP(E503,Лист4!A$2:G$395,7,FALSE)</f>
        <v>#N/A</v>
      </c>
      <c r="W503" s="247">
        <f>IF(ISNA(V503),VLOOKUP(E503,категория!A$42:C$74,3,),6.94+R503*8.333/VLOOKUP(V503,категория!A$42:C$74,2,))</f>
        <v>2.085</v>
      </c>
    </row>
    <row r="504" spans="1:23" ht="15.75">
      <c r="A504" s="277">
        <v>43852.166666666664</v>
      </c>
      <c r="B504" s="277">
        <v>43852.194444444445</v>
      </c>
      <c r="C504" s="277">
        <f t="shared" si="24"/>
        <v>2.7777777781011537E-2</v>
      </c>
      <c r="D504" s="278">
        <v>3.4722222222222224E-2</v>
      </c>
      <c r="E504" s="329" t="s">
        <v>16</v>
      </c>
      <c r="F504" s="330"/>
      <c r="G504" s="330"/>
      <c r="H504" s="330"/>
      <c r="I504" s="330"/>
      <c r="J504" s="330"/>
      <c r="K504" s="330"/>
      <c r="L504" s="330"/>
      <c r="M504" s="330"/>
      <c r="N504" s="330"/>
      <c r="O504" s="330"/>
      <c r="P504" s="330"/>
      <c r="Q504" s="330"/>
      <c r="R504" s="330"/>
      <c r="S504" s="330"/>
      <c r="T504" s="330"/>
      <c r="U504" s="331"/>
      <c r="V504" s="247" t="e">
        <f>VLOOKUP(E504,Лист4!A$2:G$395,7,FALSE)</f>
        <v>#N/A</v>
      </c>
      <c r="W504" s="247">
        <f>IF(ISNA(V504),VLOOKUP(E504,категория!A$42:C$74,3,),6.94+R504*8.333/VLOOKUP(V504,категория!A$42:C$74,2,))</f>
        <v>8.3330000000000002</v>
      </c>
    </row>
    <row r="505" spans="1:23" ht="15.75">
      <c r="A505" s="277">
        <v>43852.194444444445</v>
      </c>
      <c r="B505" s="277">
        <v>43852.204861111109</v>
      </c>
      <c r="C505" s="277">
        <f t="shared" si="24"/>
        <v>1.0416666664241347E-2</v>
      </c>
      <c r="D505" s="278">
        <v>2.0833333333333332E-2</v>
      </c>
      <c r="E505" s="329" t="s">
        <v>8</v>
      </c>
      <c r="F505" s="330"/>
      <c r="G505" s="330"/>
      <c r="H505" s="330"/>
      <c r="I505" s="330"/>
      <c r="J505" s="330"/>
      <c r="K505" s="330"/>
      <c r="L505" s="330"/>
      <c r="M505" s="330"/>
      <c r="N505" s="330"/>
      <c r="O505" s="330"/>
      <c r="P505" s="330"/>
      <c r="Q505" s="330"/>
      <c r="R505" s="330"/>
      <c r="S505" s="330"/>
      <c r="T505" s="330"/>
      <c r="U505" s="331"/>
      <c r="V505" s="247" t="e">
        <f>VLOOKUP(E505,Лист4!A$2:G$395,7,FALSE)</f>
        <v>#N/A</v>
      </c>
      <c r="W505" s="247">
        <f>IF(ISNA(V505),VLOOKUP(E505,категория!A$42:C$74,3,),6.94+R505*8.333/VLOOKUP(V505,категория!A$42:C$74,2,))</f>
        <v>4.17</v>
      </c>
    </row>
    <row r="506" spans="1:23" ht="15.75">
      <c r="A506" s="277">
        <v>43852.204861111109</v>
      </c>
      <c r="B506" s="277">
        <v>43852.229166666664</v>
      </c>
      <c r="C506" s="277">
        <f t="shared" si="24"/>
        <v>2.4305555554747116E-2</v>
      </c>
      <c r="D506" s="278">
        <v>2.7777777777777776E-2</v>
      </c>
      <c r="E506" s="329" t="s">
        <v>29</v>
      </c>
      <c r="F506" s="330"/>
      <c r="G506" s="330"/>
      <c r="H506" s="330"/>
      <c r="I506" s="330"/>
      <c r="J506" s="330"/>
      <c r="K506" s="330"/>
      <c r="L506" s="330"/>
      <c r="M506" s="330"/>
      <c r="N506" s="330"/>
      <c r="O506" s="330"/>
      <c r="P506" s="330"/>
      <c r="Q506" s="330"/>
      <c r="R506" s="330"/>
      <c r="S506" s="330"/>
      <c r="T506" s="330"/>
      <c r="U506" s="331"/>
      <c r="V506" s="247" t="e">
        <f>VLOOKUP(E506,Лист4!A$2:G$395,7,FALSE)</f>
        <v>#N/A</v>
      </c>
      <c r="W506" s="247">
        <f>IF(ISNA(V506),VLOOKUP(E506,категория!A$42:C$74,3,),6.94+R506*8.333/VLOOKUP(V506,категория!A$42:C$74,2,))</f>
        <v>5.55</v>
      </c>
    </row>
    <row r="507" spans="1:23" ht="15.75">
      <c r="A507" s="277">
        <v>43852.229166666664</v>
      </c>
      <c r="B507" s="277">
        <v>43852.256944444445</v>
      </c>
      <c r="C507" s="277">
        <f t="shared" si="24"/>
        <v>2.7777777781011537E-2</v>
      </c>
      <c r="D507" s="278">
        <v>2.4305555555555556E-2</v>
      </c>
      <c r="E507" s="329" t="s">
        <v>171</v>
      </c>
      <c r="F507" s="330"/>
      <c r="G507" s="330"/>
      <c r="H507" s="330"/>
      <c r="I507" s="330"/>
      <c r="J507" s="330"/>
      <c r="K507" s="330"/>
      <c r="L507" s="330"/>
      <c r="M507" s="330"/>
      <c r="N507" s="330"/>
      <c r="O507" s="330"/>
      <c r="P507" s="330"/>
      <c r="Q507" s="330"/>
      <c r="R507" s="330"/>
      <c r="S507" s="330"/>
      <c r="T507" s="330"/>
      <c r="U507" s="331"/>
      <c r="V507" s="247" t="e">
        <f>VLOOKUP(E507,Лист4!A$2:G$395,7,FALSE)</f>
        <v>#N/A</v>
      </c>
      <c r="W507" s="247">
        <f>IF(ISNA(V507),VLOOKUP(E507,категория!A$42:C$74,3,),6.94+R507*8.333/VLOOKUP(V507,категория!A$42:C$74,2,))</f>
        <v>5.55</v>
      </c>
    </row>
    <row r="508" spans="1:23" ht="72">
      <c r="A508" s="277">
        <v>43852.256944444445</v>
      </c>
      <c r="B508" s="277">
        <v>43852.291666666664</v>
      </c>
      <c r="C508" s="277">
        <f t="shared" si="24"/>
        <v>3.4722222218988463E-2</v>
      </c>
      <c r="D508" s="278">
        <v>3.4722222222222224E-2</v>
      </c>
      <c r="E508" s="279">
        <v>114</v>
      </c>
      <c r="F508" s="280" t="s">
        <v>257</v>
      </c>
      <c r="G508" s="280" t="s">
        <v>514</v>
      </c>
      <c r="H508" s="281" t="s">
        <v>273</v>
      </c>
      <c r="I508" s="282">
        <v>43857</v>
      </c>
      <c r="J508" s="283"/>
      <c r="K508" s="279" t="s">
        <v>269</v>
      </c>
      <c r="L508" s="284" t="s">
        <v>232</v>
      </c>
      <c r="M508" s="285"/>
      <c r="N508" s="280" t="s">
        <v>35</v>
      </c>
      <c r="O508" s="279">
        <v>250</v>
      </c>
      <c r="P508" s="279" t="s">
        <v>228</v>
      </c>
      <c r="Q508" s="286" t="s">
        <v>241</v>
      </c>
      <c r="R508" s="287">
        <v>2220</v>
      </c>
      <c r="S508" s="287">
        <v>2240</v>
      </c>
      <c r="T508" s="283" t="s">
        <v>232</v>
      </c>
      <c r="U508" s="287" t="s">
        <v>76</v>
      </c>
      <c r="V508" s="247" t="str">
        <f>VLOOKUP(E508,Лист4!A$2:G$395,7,FALSE)</f>
        <v>картон до 250</v>
      </c>
      <c r="W508" s="247">
        <f>IF(ISNA(V508),VLOOKUP(E508,категория!A$42:C$74,3,),6.94/3+R508*8.333/VLOOKUP(V508,категория!A$42:C$74,2,))</f>
        <v>7.9191696969696981</v>
      </c>
    </row>
    <row r="509" spans="1:23" ht="15.75">
      <c r="A509" s="277">
        <v>43852.291666666664</v>
      </c>
      <c r="B509" s="277">
        <v>43852.295138888891</v>
      </c>
      <c r="C509" s="277">
        <f t="shared" si="24"/>
        <v>3.4722222262644209E-3</v>
      </c>
      <c r="D509" s="278">
        <v>1.0416666666666666E-2</v>
      </c>
      <c r="E509" s="329" t="s">
        <v>170</v>
      </c>
      <c r="F509" s="330"/>
      <c r="G509" s="330"/>
      <c r="H509" s="330"/>
      <c r="I509" s="330"/>
      <c r="J509" s="330"/>
      <c r="K509" s="330"/>
      <c r="L509" s="330"/>
      <c r="M509" s="330"/>
      <c r="N509" s="330"/>
      <c r="O509" s="330"/>
      <c r="P509" s="330"/>
      <c r="Q509" s="330"/>
      <c r="R509" s="330"/>
      <c r="S509" s="330"/>
      <c r="T509" s="330"/>
      <c r="U509" s="331"/>
      <c r="V509" s="247" t="e">
        <f>VLOOKUP(E509,Лист4!A$2:G$395,7,FALSE)</f>
        <v>#N/A</v>
      </c>
      <c r="W509" s="247">
        <f>IF(ISNA(V509),VLOOKUP(E509,категория!A$42:C$74,3,),6.94+R509*8.333/VLOOKUP(V509,категория!A$42:C$74,2,))</f>
        <v>2.085</v>
      </c>
    </row>
    <row r="510" spans="1:23" ht="15.75">
      <c r="A510" s="277">
        <v>43852.295138888891</v>
      </c>
      <c r="B510" s="277">
        <v>43852.333333333336</v>
      </c>
      <c r="C510" s="277">
        <f t="shared" si="24"/>
        <v>3.8194444445252884E-2</v>
      </c>
      <c r="D510" s="278">
        <v>4.1666666666666664E-2</v>
      </c>
      <c r="E510" s="329" t="s">
        <v>7</v>
      </c>
      <c r="F510" s="330"/>
      <c r="G510" s="330"/>
      <c r="H510" s="330"/>
      <c r="I510" s="330"/>
      <c r="J510" s="330"/>
      <c r="K510" s="330"/>
      <c r="L510" s="330"/>
      <c r="M510" s="330"/>
      <c r="N510" s="330"/>
      <c r="O510" s="330"/>
      <c r="P510" s="330"/>
      <c r="Q510" s="330"/>
      <c r="R510" s="330"/>
      <c r="S510" s="330"/>
      <c r="T510" s="330"/>
      <c r="U510" s="331"/>
      <c r="V510" s="247" t="e">
        <f>VLOOKUP(E510,Лист4!A$2:G$395,7,FALSE)</f>
        <v>#N/A</v>
      </c>
      <c r="W510" s="247">
        <f>IF(ISNA(V510),VLOOKUP(E510,категория!A$42:C$74,3,),6.94+R510*8.333/VLOOKUP(V510,категория!A$42:C$74,2,))</f>
        <v>8.3332999999999995</v>
      </c>
    </row>
    <row r="511" spans="1:23" ht="15.75">
      <c r="A511" s="288">
        <v>43852.333333333336</v>
      </c>
      <c r="B511" s="332" t="s">
        <v>516</v>
      </c>
      <c r="C511" s="333"/>
      <c r="D511" s="334"/>
      <c r="E511" s="334"/>
      <c r="F511" s="334"/>
      <c r="G511" s="334"/>
      <c r="H511" s="334"/>
      <c r="I511" s="334"/>
      <c r="J511" s="334"/>
      <c r="K511" s="334"/>
      <c r="L511" s="334"/>
      <c r="M511" s="334"/>
      <c r="N511" s="334"/>
      <c r="O511" s="334"/>
      <c r="P511" s="334"/>
      <c r="Q511" s="334"/>
      <c r="R511" s="334"/>
      <c r="S511" s="334"/>
      <c r="T511" s="334"/>
      <c r="U511" s="335"/>
      <c r="V511" s="247" t="e">
        <f>VLOOKUP(E511,Лист4!A$2:G$395,7,FALSE)</f>
        <v>#N/A</v>
      </c>
      <c r="W511" s="52">
        <f>SUM(W488:W510)</f>
        <v>124.82758777575756</v>
      </c>
    </row>
    <row r="512" spans="1:23" ht="15.75">
      <c r="A512" s="277">
        <v>43852.333333333336</v>
      </c>
      <c r="B512" s="277">
        <v>43852.354166666664</v>
      </c>
      <c r="C512" s="277">
        <f>B512-A512</f>
        <v>2.0833333328482695E-2</v>
      </c>
      <c r="D512" s="278">
        <v>2.0833333333333332E-2</v>
      </c>
      <c r="E512" s="329" t="s">
        <v>22</v>
      </c>
      <c r="F512" s="330"/>
      <c r="G512" s="330"/>
      <c r="H512" s="330"/>
      <c r="I512" s="330"/>
      <c r="J512" s="330"/>
      <c r="K512" s="330"/>
      <c r="L512" s="330"/>
      <c r="M512" s="330"/>
      <c r="N512" s="330"/>
      <c r="O512" s="330"/>
      <c r="P512" s="330"/>
      <c r="Q512" s="330"/>
      <c r="R512" s="330"/>
      <c r="S512" s="330"/>
      <c r="T512" s="330"/>
      <c r="U512" s="331"/>
      <c r="V512" s="247" t="e">
        <f>VLOOKUP(E512,Лист4!A$2:G$395,7,FALSE)</f>
        <v>#N/A</v>
      </c>
      <c r="W512" s="247">
        <f>IF(ISNA(V512),VLOOKUP(E512,категория!A$42:C$74,3,),6.94+R512*8.333/VLOOKUP(V512,категория!A$42:C$74,2,))</f>
        <v>4.17</v>
      </c>
    </row>
    <row r="513" spans="1:23" ht="15.75">
      <c r="A513" s="277">
        <v>43852.354166666664</v>
      </c>
      <c r="B513" s="277">
        <v>43852.40625</v>
      </c>
      <c r="C513" s="277">
        <f t="shared" ref="C513:C537" si="25">B513-A513</f>
        <v>5.2083333335758653E-2</v>
      </c>
      <c r="D513" s="278">
        <v>6.9444444444444434E-2</v>
      </c>
      <c r="E513" s="329" t="s">
        <v>18</v>
      </c>
      <c r="F513" s="330"/>
      <c r="G513" s="330"/>
      <c r="H513" s="330"/>
      <c r="I513" s="330"/>
      <c r="J513" s="330"/>
      <c r="K513" s="330"/>
      <c r="L513" s="330"/>
      <c r="M513" s="330"/>
      <c r="N513" s="330"/>
      <c r="O513" s="330"/>
      <c r="P513" s="330"/>
      <c r="Q513" s="330"/>
      <c r="R513" s="330"/>
      <c r="S513" s="330"/>
      <c r="T513" s="330"/>
      <c r="U513" s="331"/>
      <c r="V513" s="247" t="e">
        <f>VLOOKUP(E513,Лист4!A$2:G$395,7,FALSE)</f>
        <v>#N/A</v>
      </c>
      <c r="W513" s="247">
        <f>IF(ISNA(V513),VLOOKUP(E513,категория!A$42:C$74,3,),6.94+R513*8.333/VLOOKUP(V513,категория!A$42:C$74,2,))</f>
        <v>13.9</v>
      </c>
    </row>
    <row r="514" spans="1:23" ht="15.75">
      <c r="A514" s="277">
        <v>43852.40625</v>
      </c>
      <c r="B514" s="277">
        <v>43852.416666666664</v>
      </c>
      <c r="C514" s="277">
        <f t="shared" si="25"/>
        <v>1.0416666664241347E-2</v>
      </c>
      <c r="D514" s="278">
        <v>2.0833333333333332E-2</v>
      </c>
      <c r="E514" s="329" t="s">
        <v>8</v>
      </c>
      <c r="F514" s="330"/>
      <c r="G514" s="330"/>
      <c r="H514" s="330"/>
      <c r="I514" s="330"/>
      <c r="J514" s="330"/>
      <c r="K514" s="330"/>
      <c r="L514" s="330"/>
      <c r="M514" s="330"/>
      <c r="N514" s="330"/>
      <c r="O514" s="330"/>
      <c r="P514" s="330"/>
      <c r="Q514" s="330"/>
      <c r="R514" s="330"/>
      <c r="S514" s="330"/>
      <c r="T514" s="330"/>
      <c r="U514" s="331"/>
      <c r="V514" s="247" t="e">
        <f>VLOOKUP(E514,Лист4!A$2:G$395,7,FALSE)</f>
        <v>#N/A</v>
      </c>
      <c r="W514" s="247">
        <f>IF(ISNA(V514),VLOOKUP(E514,категория!A$42:C$74,3,),6.94+R514*8.333/VLOOKUP(V514,категория!A$42:C$74,2,))</f>
        <v>4.17</v>
      </c>
    </row>
    <row r="515" spans="1:23" ht="15.75">
      <c r="A515" s="277">
        <v>43852.416666666664</v>
      </c>
      <c r="B515" s="277">
        <v>43852.472222222219</v>
      </c>
      <c r="C515" s="277">
        <f t="shared" si="25"/>
        <v>5.5555555554747116E-2</v>
      </c>
      <c r="D515" s="278">
        <v>4.1666666666666664E-2</v>
      </c>
      <c r="E515" s="329" t="s">
        <v>28</v>
      </c>
      <c r="F515" s="330"/>
      <c r="G515" s="330"/>
      <c r="H515" s="330"/>
      <c r="I515" s="330"/>
      <c r="J515" s="330"/>
      <c r="K515" s="330"/>
      <c r="L515" s="330"/>
      <c r="M515" s="330"/>
      <c r="N515" s="330"/>
      <c r="O515" s="330"/>
      <c r="P515" s="330"/>
      <c r="Q515" s="330"/>
      <c r="R515" s="330"/>
      <c r="S515" s="330"/>
      <c r="T515" s="330"/>
      <c r="U515" s="331"/>
      <c r="V515" s="247" t="e">
        <f>VLOOKUP(E515,Лист4!A$2:G$395,7,FALSE)</f>
        <v>#N/A</v>
      </c>
      <c r="W515" s="247">
        <f>IF(ISNA(V515),VLOOKUP(E515,категория!A$42:C$74,3,),6.94+R515*8.333/VLOOKUP(V515,категория!A$42:C$74,2,))</f>
        <v>8.3332999999999995</v>
      </c>
    </row>
    <row r="516" spans="1:23" ht="15.75">
      <c r="A516" s="277">
        <v>43852.472222222219</v>
      </c>
      <c r="B516" s="277">
        <v>43852.5</v>
      </c>
      <c r="C516" s="277">
        <f t="shared" si="25"/>
        <v>2.7777777781011537E-2</v>
      </c>
      <c r="D516" s="278">
        <v>2.7777777777777776E-2</v>
      </c>
      <c r="E516" s="329" t="s">
        <v>29</v>
      </c>
      <c r="F516" s="330"/>
      <c r="G516" s="330"/>
      <c r="H516" s="330"/>
      <c r="I516" s="330"/>
      <c r="J516" s="330"/>
      <c r="K516" s="330"/>
      <c r="L516" s="330"/>
      <c r="M516" s="330"/>
      <c r="N516" s="330"/>
      <c r="O516" s="330"/>
      <c r="P516" s="330"/>
      <c r="Q516" s="330"/>
      <c r="R516" s="330"/>
      <c r="S516" s="330"/>
      <c r="T516" s="330"/>
      <c r="U516" s="331"/>
      <c r="V516" s="247" t="e">
        <f>VLOOKUP(E516,Лист4!A$2:G$395,7,FALSE)</f>
        <v>#N/A</v>
      </c>
      <c r="W516" s="247">
        <f>IF(ISNA(V516),VLOOKUP(E516,категория!A$42:C$74,3,),6.94+R516*8.333/VLOOKUP(V516,категория!A$42:C$74,2,))</f>
        <v>5.55</v>
      </c>
    </row>
    <row r="517" spans="1:23" ht="15.75">
      <c r="A517" s="277">
        <v>43852.5</v>
      </c>
      <c r="B517" s="277">
        <v>43852.506944444445</v>
      </c>
      <c r="C517" s="277">
        <f t="shared" si="25"/>
        <v>6.9444444452528842E-3</v>
      </c>
      <c r="D517" s="278">
        <v>3.472222222222222E-3</v>
      </c>
      <c r="E517" s="329" t="s">
        <v>327</v>
      </c>
      <c r="F517" s="330"/>
      <c r="G517" s="330"/>
      <c r="H517" s="330"/>
      <c r="I517" s="330"/>
      <c r="J517" s="330"/>
      <c r="K517" s="330"/>
      <c r="L517" s="330"/>
      <c r="M517" s="330"/>
      <c r="N517" s="330"/>
      <c r="O517" s="330"/>
      <c r="P517" s="330"/>
      <c r="Q517" s="330"/>
      <c r="R517" s="330"/>
      <c r="S517" s="330"/>
      <c r="T517" s="330"/>
      <c r="U517" s="331"/>
      <c r="V517" s="247" t="e">
        <f>VLOOKUP(E517,Лист4!A$2:G$395,7,FALSE)</f>
        <v>#N/A</v>
      </c>
      <c r="W517" s="247">
        <f>0.16*8.3333</f>
        <v>1.3333279999999998</v>
      </c>
    </row>
    <row r="518" spans="1:23" ht="15.75">
      <c r="A518" s="277">
        <v>43852.506944444445</v>
      </c>
      <c r="B518" s="277">
        <v>43852.576388888891</v>
      </c>
      <c r="C518" s="277">
        <f t="shared" si="25"/>
        <v>6.9444444445252884E-2</v>
      </c>
      <c r="D518" s="278">
        <v>3.472222222222222E-3</v>
      </c>
      <c r="E518" s="329" t="s">
        <v>24</v>
      </c>
      <c r="F518" s="330"/>
      <c r="G518" s="330"/>
      <c r="H518" s="330"/>
      <c r="I518" s="330"/>
      <c r="J518" s="330"/>
      <c r="K518" s="330"/>
      <c r="L518" s="330"/>
      <c r="M518" s="330"/>
      <c r="N518" s="330"/>
      <c r="O518" s="330"/>
      <c r="P518" s="330"/>
      <c r="Q518" s="330"/>
      <c r="R518" s="330"/>
      <c r="S518" s="330"/>
      <c r="T518" s="330"/>
      <c r="U518" s="331"/>
      <c r="V518" s="247" t="e">
        <f>VLOOKUP(E518,Лист4!A$2:G$395,7,FALSE)</f>
        <v>#N/A</v>
      </c>
      <c r="W518" s="247">
        <f>IF(ISNA(V518),VLOOKUP(E518,категория!A$42:C$74,3,),6.94+R518*8.333/VLOOKUP(V518,категория!A$42:C$74,2,))</f>
        <v>3.47</v>
      </c>
    </row>
    <row r="519" spans="1:23" ht="36">
      <c r="A519" s="277">
        <v>43852.576388888891</v>
      </c>
      <c r="B519" s="277">
        <v>43852.600694444445</v>
      </c>
      <c r="C519" s="277">
        <f t="shared" si="25"/>
        <v>2.4305555554747116E-2</v>
      </c>
      <c r="D519" s="278">
        <v>2.4305555555555556E-2</v>
      </c>
      <c r="E519" s="279">
        <v>129</v>
      </c>
      <c r="F519" s="280" t="s">
        <v>440</v>
      </c>
      <c r="G519" s="280" t="s">
        <v>517</v>
      </c>
      <c r="H519" s="281" t="s">
        <v>258</v>
      </c>
      <c r="I519" s="282">
        <v>43853</v>
      </c>
      <c r="J519" s="283"/>
      <c r="K519" s="279" t="s">
        <v>227</v>
      </c>
      <c r="L519" s="284"/>
      <c r="M519" s="285" t="s">
        <v>276</v>
      </c>
      <c r="N519" s="280" t="s">
        <v>35</v>
      </c>
      <c r="O519" s="279">
        <v>250</v>
      </c>
      <c r="P519" s="279" t="s">
        <v>228</v>
      </c>
      <c r="Q519" s="286" t="s">
        <v>229</v>
      </c>
      <c r="R519" s="287">
        <v>2500</v>
      </c>
      <c r="S519" s="287">
        <v>2847</v>
      </c>
      <c r="T519" s="283" t="s">
        <v>232</v>
      </c>
      <c r="U519" s="287" t="s">
        <v>77</v>
      </c>
      <c r="V519" s="247" t="s">
        <v>286</v>
      </c>
      <c r="W519" s="247">
        <f>IF(ISNA(V519),VLOOKUP(E519,категория!A$42:C$74,3,),6.94+R519*8.333/VLOOKUP(V519,категория!A$42:C$74,2,))</f>
        <v>13.252878787878789</v>
      </c>
    </row>
    <row r="520" spans="1:23" ht="15.75">
      <c r="A520" s="277">
        <v>43852.600694444445</v>
      </c>
      <c r="B520" s="277">
        <v>43852.607638888891</v>
      </c>
      <c r="C520" s="277">
        <f t="shared" si="25"/>
        <v>6.9444444452528842E-3</v>
      </c>
      <c r="D520" s="278">
        <v>1.0416666666666666E-2</v>
      </c>
      <c r="E520" s="329" t="s">
        <v>170</v>
      </c>
      <c r="F520" s="330"/>
      <c r="G520" s="330"/>
      <c r="H520" s="330"/>
      <c r="I520" s="330"/>
      <c r="J520" s="330"/>
      <c r="K520" s="330"/>
      <c r="L520" s="330"/>
      <c r="M520" s="330"/>
      <c r="N520" s="330"/>
      <c r="O520" s="330"/>
      <c r="P520" s="330"/>
      <c r="Q520" s="330"/>
      <c r="R520" s="330"/>
      <c r="S520" s="330"/>
      <c r="T520" s="330"/>
      <c r="U520" s="331"/>
      <c r="V520" s="247" t="e">
        <f>VLOOKUP(E520,Лист4!A$2:G$395,7,FALSE)</f>
        <v>#N/A</v>
      </c>
      <c r="W520" s="247">
        <f>IF(ISNA(V520),VLOOKUP(E520,категория!A$42:C$74,3,),6.94+R520*8.333/VLOOKUP(V520,категория!A$42:C$74,2,))</f>
        <v>2.085</v>
      </c>
    </row>
    <row r="521" spans="1:23" ht="15.75">
      <c r="A521" s="277">
        <v>43852.607638888891</v>
      </c>
      <c r="B521" s="277">
        <v>43852.618055555555</v>
      </c>
      <c r="C521" s="277">
        <f t="shared" si="25"/>
        <v>1.0416666664241347E-2</v>
      </c>
      <c r="D521" s="278">
        <v>2.0833333333333332E-2</v>
      </c>
      <c r="E521" s="329" t="s">
        <v>23</v>
      </c>
      <c r="F521" s="330"/>
      <c r="G521" s="330"/>
      <c r="H521" s="330"/>
      <c r="I521" s="330"/>
      <c r="J521" s="330"/>
      <c r="K521" s="330"/>
      <c r="L521" s="330"/>
      <c r="M521" s="330"/>
      <c r="N521" s="330"/>
      <c r="O521" s="330"/>
      <c r="P521" s="330"/>
      <c r="Q521" s="330"/>
      <c r="R521" s="330"/>
      <c r="S521" s="330"/>
      <c r="T521" s="330"/>
      <c r="U521" s="331"/>
      <c r="V521" s="247" t="e">
        <f>VLOOKUP(E521,Лист4!A$2:G$395,7,FALSE)</f>
        <v>#N/A</v>
      </c>
      <c r="W521" s="247">
        <f>IF(ISNA(V521),VLOOKUP(E521,категория!A$42:C$74,3,),6.94+R521*8.333/VLOOKUP(V521,категория!A$42:C$74,2,))</f>
        <v>2.78</v>
      </c>
    </row>
    <row r="522" spans="1:23" ht="15.75">
      <c r="A522" s="277">
        <v>43852.618055555555</v>
      </c>
      <c r="B522" s="277">
        <v>43852.625</v>
      </c>
      <c r="C522" s="277">
        <f t="shared" si="25"/>
        <v>6.9444444452528842E-3</v>
      </c>
      <c r="D522" s="278">
        <v>3.472222222222222E-3</v>
      </c>
      <c r="E522" s="329" t="s">
        <v>327</v>
      </c>
      <c r="F522" s="330"/>
      <c r="G522" s="330"/>
      <c r="H522" s="330"/>
      <c r="I522" s="330"/>
      <c r="J522" s="330"/>
      <c r="K522" s="330"/>
      <c r="L522" s="330"/>
      <c r="M522" s="330"/>
      <c r="N522" s="330"/>
      <c r="O522" s="330"/>
      <c r="P522" s="330"/>
      <c r="Q522" s="330"/>
      <c r="R522" s="330"/>
      <c r="S522" s="330"/>
      <c r="T522" s="330"/>
      <c r="U522" s="331"/>
      <c r="V522" s="247" t="e">
        <f>VLOOKUP(E522,Лист4!A$2:G$395,7,FALSE)</f>
        <v>#N/A</v>
      </c>
      <c r="W522" s="247">
        <f>8.333*0.16</f>
        <v>1.33328</v>
      </c>
    </row>
    <row r="523" spans="1:23" ht="36">
      <c r="A523" s="277">
        <v>43852.625</v>
      </c>
      <c r="B523" s="277">
        <v>43852.645833333336</v>
      </c>
      <c r="C523" s="277">
        <f t="shared" si="25"/>
        <v>2.0833333335758653E-2</v>
      </c>
      <c r="D523" s="278">
        <v>2.0833333333333332E-2</v>
      </c>
      <c r="E523" s="279">
        <v>129</v>
      </c>
      <c r="F523" s="280" t="s">
        <v>440</v>
      </c>
      <c r="G523" s="280" t="s">
        <v>517</v>
      </c>
      <c r="H523" s="281" t="s">
        <v>259</v>
      </c>
      <c r="I523" s="282">
        <v>43853</v>
      </c>
      <c r="J523" s="283"/>
      <c r="K523" s="279" t="s">
        <v>227</v>
      </c>
      <c r="L523" s="284"/>
      <c r="M523" s="285" t="s">
        <v>276</v>
      </c>
      <c r="N523" s="280" t="s">
        <v>35</v>
      </c>
      <c r="O523" s="279">
        <v>250</v>
      </c>
      <c r="P523" s="279" t="s">
        <v>228</v>
      </c>
      <c r="Q523" s="286" t="s">
        <v>229</v>
      </c>
      <c r="R523" s="287">
        <v>2500</v>
      </c>
      <c r="S523" s="287">
        <v>2440</v>
      </c>
      <c r="T523" s="283" t="s">
        <v>232</v>
      </c>
      <c r="U523" s="287" t="s">
        <v>77</v>
      </c>
      <c r="V523" s="247" t="s">
        <v>286</v>
      </c>
      <c r="W523" s="247">
        <f>IF(ISNA(V523),VLOOKUP(E523,категория!A$42:C$74,3,),R523*8.333/VLOOKUP(V523,категория!A$42:C$74,2,))</f>
        <v>6.3128787878787875</v>
      </c>
    </row>
    <row r="524" spans="1:23" ht="15.75">
      <c r="A524" s="277">
        <v>43852.645833333336</v>
      </c>
      <c r="B524" s="277">
        <v>43852.652777777781</v>
      </c>
      <c r="C524" s="277">
        <f t="shared" si="25"/>
        <v>6.9444444452528842E-3</v>
      </c>
      <c r="D524" s="278">
        <v>6.9444444444444441E-3</v>
      </c>
      <c r="E524" s="329" t="s">
        <v>170</v>
      </c>
      <c r="F524" s="330"/>
      <c r="G524" s="330"/>
      <c r="H524" s="330"/>
      <c r="I524" s="330"/>
      <c r="J524" s="330"/>
      <c r="K524" s="330"/>
      <c r="L524" s="330"/>
      <c r="M524" s="330"/>
      <c r="N524" s="330"/>
      <c r="O524" s="330"/>
      <c r="P524" s="330"/>
      <c r="Q524" s="330"/>
      <c r="R524" s="330"/>
      <c r="S524" s="330"/>
      <c r="T524" s="330"/>
      <c r="U524" s="331"/>
      <c r="V524" s="247" t="e">
        <f>VLOOKUP(E524,Лист4!A$2:G$395,7,FALSE)</f>
        <v>#N/A</v>
      </c>
      <c r="W524" s="247">
        <f>8.33*0.16</f>
        <v>1.3328</v>
      </c>
    </row>
    <row r="525" spans="1:23" ht="15.75">
      <c r="A525" s="277">
        <v>43852.652777777781</v>
      </c>
      <c r="B525" s="277">
        <v>43852.659722222219</v>
      </c>
      <c r="C525" s="277">
        <f t="shared" si="25"/>
        <v>6.9444444379769266E-3</v>
      </c>
      <c r="D525" s="278">
        <v>3.472222222222222E-3</v>
      </c>
      <c r="E525" s="329" t="s">
        <v>327</v>
      </c>
      <c r="F525" s="330"/>
      <c r="G525" s="330"/>
      <c r="H525" s="330"/>
      <c r="I525" s="330"/>
      <c r="J525" s="330"/>
      <c r="K525" s="330"/>
      <c r="L525" s="330"/>
      <c r="M525" s="330"/>
      <c r="N525" s="330"/>
      <c r="O525" s="330"/>
      <c r="P525" s="330"/>
      <c r="Q525" s="330"/>
      <c r="R525" s="330"/>
      <c r="S525" s="330"/>
      <c r="T525" s="330"/>
      <c r="U525" s="331"/>
      <c r="V525" s="247" t="e">
        <f>VLOOKUP(E525,Лист4!A$2:G$395,7,FALSE)</f>
        <v>#N/A</v>
      </c>
      <c r="W525" s="247">
        <f>0.16*8.333</f>
        <v>1.33328</v>
      </c>
    </row>
    <row r="526" spans="1:23" ht="36">
      <c r="A526" s="277">
        <v>43852.659722222219</v>
      </c>
      <c r="B526" s="277">
        <v>43852.680555555555</v>
      </c>
      <c r="C526" s="277">
        <f t="shared" si="25"/>
        <v>2.0833333335758653E-2</v>
      </c>
      <c r="D526" s="278">
        <v>2.0833333333333332E-2</v>
      </c>
      <c r="E526" s="279">
        <v>129</v>
      </c>
      <c r="F526" s="280" t="s">
        <v>440</v>
      </c>
      <c r="G526" s="280" t="s">
        <v>517</v>
      </c>
      <c r="H526" s="281" t="s">
        <v>260</v>
      </c>
      <c r="I526" s="282">
        <v>43853</v>
      </c>
      <c r="J526" s="283"/>
      <c r="K526" s="279" t="s">
        <v>227</v>
      </c>
      <c r="L526" s="284"/>
      <c r="M526" s="285" t="s">
        <v>276</v>
      </c>
      <c r="N526" s="280" t="s">
        <v>35</v>
      </c>
      <c r="O526" s="279">
        <v>250</v>
      </c>
      <c r="P526" s="279" t="s">
        <v>228</v>
      </c>
      <c r="Q526" s="286" t="s">
        <v>229</v>
      </c>
      <c r="R526" s="287">
        <v>2500</v>
      </c>
      <c r="S526" s="287">
        <v>2440</v>
      </c>
      <c r="T526" s="283" t="s">
        <v>232</v>
      </c>
      <c r="U526" s="287" t="s">
        <v>77</v>
      </c>
      <c r="V526" s="247" t="s">
        <v>286</v>
      </c>
      <c r="W526" s="247">
        <f>IF(ISNA(V526),VLOOKUP(E526,категория!A$42:C$74,3,),R526*8.333/VLOOKUP(V526,категория!A$42:C$74,2,))</f>
        <v>6.3128787878787875</v>
      </c>
    </row>
    <row r="527" spans="1:23" ht="15.75">
      <c r="A527" s="277">
        <v>43852.680555555555</v>
      </c>
      <c r="B527" s="277">
        <v>43852.6875</v>
      </c>
      <c r="C527" s="277">
        <f t="shared" si="25"/>
        <v>6.9444444452528842E-3</v>
      </c>
      <c r="D527" s="278">
        <v>6.9444444444444441E-3</v>
      </c>
      <c r="E527" s="329" t="s">
        <v>170</v>
      </c>
      <c r="F527" s="330"/>
      <c r="G527" s="330"/>
      <c r="H527" s="330"/>
      <c r="I527" s="330"/>
      <c r="J527" s="330"/>
      <c r="K527" s="330"/>
      <c r="L527" s="330"/>
      <c r="M527" s="330"/>
      <c r="N527" s="330"/>
      <c r="O527" s="330"/>
      <c r="P527" s="330"/>
      <c r="Q527" s="330"/>
      <c r="R527" s="330"/>
      <c r="S527" s="330"/>
      <c r="T527" s="330"/>
      <c r="U527" s="331"/>
      <c r="V527" s="247" t="e">
        <f>VLOOKUP(E527,Лист4!A$2:G$395,7,FALSE)</f>
        <v>#N/A</v>
      </c>
      <c r="W527" s="247">
        <f>IF(ISNA(V527),VLOOKUP(E527,категория!A$42:C$74,3,),6.94+R527*8.333/VLOOKUP(V527,категория!A$42:C$74,2,))</f>
        <v>2.085</v>
      </c>
    </row>
    <row r="528" spans="1:23" ht="15.75">
      <c r="A528" s="277">
        <v>43852.6875</v>
      </c>
      <c r="B528" s="277">
        <v>43852.694444444445</v>
      </c>
      <c r="C528" s="277">
        <f t="shared" si="25"/>
        <v>6.9444444452528842E-3</v>
      </c>
      <c r="D528" s="278">
        <v>3.472222222222222E-3</v>
      </c>
      <c r="E528" s="329" t="s">
        <v>327</v>
      </c>
      <c r="F528" s="330"/>
      <c r="G528" s="330"/>
      <c r="H528" s="330"/>
      <c r="I528" s="330"/>
      <c r="J528" s="330"/>
      <c r="K528" s="330"/>
      <c r="L528" s="330"/>
      <c r="M528" s="330"/>
      <c r="N528" s="330"/>
      <c r="O528" s="330"/>
      <c r="P528" s="330"/>
      <c r="Q528" s="330"/>
      <c r="R528" s="330"/>
      <c r="S528" s="330"/>
      <c r="T528" s="330"/>
      <c r="U528" s="331"/>
      <c r="V528" s="247" t="e">
        <f>VLOOKUP(E528,Лист4!A$2:G$395,7,FALSE)</f>
        <v>#N/A</v>
      </c>
      <c r="W528" s="247">
        <f>8.33*0.16</f>
        <v>1.3328</v>
      </c>
    </row>
    <row r="529" spans="1:23" ht="36">
      <c r="A529" s="277">
        <v>43852.694444444445</v>
      </c>
      <c r="B529" s="277">
        <v>43852.722222222219</v>
      </c>
      <c r="C529" s="277">
        <f t="shared" si="25"/>
        <v>2.7777777773735579E-2</v>
      </c>
      <c r="D529" s="278">
        <v>2.7777777777777776E-2</v>
      </c>
      <c r="E529" s="279">
        <v>129</v>
      </c>
      <c r="F529" s="280" t="s">
        <v>440</v>
      </c>
      <c r="G529" s="280" t="s">
        <v>517</v>
      </c>
      <c r="H529" s="281" t="s">
        <v>261</v>
      </c>
      <c r="I529" s="282">
        <v>43853</v>
      </c>
      <c r="J529" s="283"/>
      <c r="K529" s="279" t="s">
        <v>227</v>
      </c>
      <c r="L529" s="284"/>
      <c r="M529" s="285" t="s">
        <v>276</v>
      </c>
      <c r="N529" s="280" t="s">
        <v>35</v>
      </c>
      <c r="O529" s="279">
        <v>250</v>
      </c>
      <c r="P529" s="279" t="s">
        <v>228</v>
      </c>
      <c r="Q529" s="286" t="s">
        <v>229</v>
      </c>
      <c r="R529" s="287">
        <v>3000</v>
      </c>
      <c r="S529" s="287">
        <v>3253</v>
      </c>
      <c r="T529" s="283" t="s">
        <v>232</v>
      </c>
      <c r="U529" s="287" t="s">
        <v>77</v>
      </c>
      <c r="V529" s="247" t="s">
        <v>286</v>
      </c>
      <c r="W529" s="247">
        <f>IF(ISNA(V529),VLOOKUP(E529,категория!A$42:C$74,3,),R529*8.333/VLOOKUP(V529,категория!A$42:C$74,2,))</f>
        <v>7.5754545454545452</v>
      </c>
    </row>
    <row r="530" spans="1:23" ht="15.75">
      <c r="A530" s="277">
        <v>43852.722222222219</v>
      </c>
      <c r="B530" s="277">
        <v>43852.729166666664</v>
      </c>
      <c r="C530" s="277">
        <f t="shared" si="25"/>
        <v>6.9444444452528842E-3</v>
      </c>
      <c r="D530" s="278">
        <v>6.9444444444444441E-3</v>
      </c>
      <c r="E530" s="329" t="s">
        <v>170</v>
      </c>
      <c r="F530" s="330"/>
      <c r="G530" s="330"/>
      <c r="H530" s="330"/>
      <c r="I530" s="330"/>
      <c r="J530" s="330"/>
      <c r="K530" s="330"/>
      <c r="L530" s="330"/>
      <c r="M530" s="330"/>
      <c r="N530" s="330"/>
      <c r="O530" s="330"/>
      <c r="P530" s="330"/>
      <c r="Q530" s="330"/>
      <c r="R530" s="330"/>
      <c r="S530" s="330"/>
      <c r="T530" s="330"/>
      <c r="U530" s="331"/>
      <c r="V530" s="247" t="e">
        <f>VLOOKUP(E530,Лист4!A$2:G$395,7,FALSE)</f>
        <v>#N/A</v>
      </c>
      <c r="W530" s="247">
        <f>IF(ISNA(V530),VLOOKUP(E530,категория!A$42:C$74,3,),6.94+R530*8.333/VLOOKUP(V530,категория!A$42:C$74,2,))</f>
        <v>2.085</v>
      </c>
    </row>
    <row r="531" spans="1:23" ht="15.75">
      <c r="A531" s="277">
        <v>43852.729166666664</v>
      </c>
      <c r="B531" s="277">
        <v>43852.75</v>
      </c>
      <c r="C531" s="277">
        <f t="shared" si="25"/>
        <v>2.0833333335758653E-2</v>
      </c>
      <c r="D531" s="278">
        <v>3.472222222222222E-3</v>
      </c>
      <c r="E531" s="329" t="s">
        <v>24</v>
      </c>
      <c r="F531" s="330"/>
      <c r="G531" s="330"/>
      <c r="H531" s="330"/>
      <c r="I531" s="330"/>
      <c r="J531" s="330"/>
      <c r="K531" s="330"/>
      <c r="L531" s="330"/>
      <c r="M531" s="330"/>
      <c r="N531" s="330"/>
      <c r="O531" s="330"/>
      <c r="P531" s="330"/>
      <c r="Q531" s="330"/>
      <c r="R531" s="330"/>
      <c r="S531" s="330"/>
      <c r="T531" s="330"/>
      <c r="U531" s="331"/>
      <c r="V531" s="247" t="e">
        <f>VLOOKUP(E531,Лист4!A$2:G$395,7,FALSE)</f>
        <v>#N/A</v>
      </c>
      <c r="W531" s="247">
        <f>IF(ISNA(V531),VLOOKUP(E531,категория!A$42:C$74,3,),6.94+R531*8.333/VLOOKUP(V531,категория!A$42:C$74,2,))</f>
        <v>3.47</v>
      </c>
    </row>
    <row r="532" spans="1:23" ht="48">
      <c r="A532" s="277">
        <v>43852.75</v>
      </c>
      <c r="B532" s="277">
        <v>43852.770833333336</v>
      </c>
      <c r="C532" s="277">
        <f t="shared" si="25"/>
        <v>2.0833333335758653E-2</v>
      </c>
      <c r="D532" s="278">
        <v>2.0833333333333332E-2</v>
      </c>
      <c r="E532" s="279">
        <v>130</v>
      </c>
      <c r="F532" s="280" t="s">
        <v>440</v>
      </c>
      <c r="G532" s="280" t="s">
        <v>518</v>
      </c>
      <c r="H532" s="281" t="s">
        <v>258</v>
      </c>
      <c r="I532" s="282">
        <v>43853</v>
      </c>
      <c r="J532" s="283"/>
      <c r="K532" s="279" t="s">
        <v>227</v>
      </c>
      <c r="L532" s="284"/>
      <c r="M532" s="285" t="s">
        <v>276</v>
      </c>
      <c r="N532" s="280" t="s">
        <v>35</v>
      </c>
      <c r="O532" s="279">
        <v>250</v>
      </c>
      <c r="P532" s="279" t="s">
        <v>228</v>
      </c>
      <c r="Q532" s="286" t="s">
        <v>229</v>
      </c>
      <c r="R532" s="287">
        <v>2500</v>
      </c>
      <c r="S532" s="287">
        <v>2440</v>
      </c>
      <c r="T532" s="283" t="s">
        <v>232</v>
      </c>
      <c r="U532" s="287" t="s">
        <v>77</v>
      </c>
      <c r="V532" s="247" t="s">
        <v>286</v>
      </c>
      <c r="W532" s="247">
        <f>IF(ISNA(V532),VLOOKUP(E532,категория!A$42:C$74,3,),6.94+R532*8.333/VLOOKUP(V532,категория!A$42:C$74,2,))</f>
        <v>13.252878787878789</v>
      </c>
    </row>
    <row r="533" spans="1:23" ht="15.75">
      <c r="A533" s="277">
        <v>43852.770833333336</v>
      </c>
      <c r="B533" s="277">
        <v>43852.777777777781</v>
      </c>
      <c r="C533" s="277">
        <f t="shared" si="25"/>
        <v>6.9444444452528842E-3</v>
      </c>
      <c r="D533" s="278">
        <v>1.0416666666666666E-2</v>
      </c>
      <c r="E533" s="329" t="s">
        <v>170</v>
      </c>
      <c r="F533" s="330"/>
      <c r="G533" s="330"/>
      <c r="H533" s="330"/>
      <c r="I533" s="330"/>
      <c r="J533" s="330"/>
      <c r="K533" s="330"/>
      <c r="L533" s="330"/>
      <c r="M533" s="330"/>
      <c r="N533" s="330"/>
      <c r="O533" s="330"/>
      <c r="P533" s="330"/>
      <c r="Q533" s="330"/>
      <c r="R533" s="330"/>
      <c r="S533" s="330"/>
      <c r="T533" s="330"/>
      <c r="U533" s="331"/>
      <c r="V533" s="247" t="e">
        <f>VLOOKUP(E533,Лист4!A$2:G$395,7,FALSE)</f>
        <v>#N/A</v>
      </c>
      <c r="W533" s="247">
        <f>IF(ISNA(V533),VLOOKUP(E533,категория!A$42:C$74,3,),6.94+R533*8.333/VLOOKUP(V533,категория!A$42:C$74,2,))</f>
        <v>2.085</v>
      </c>
    </row>
    <row r="534" spans="1:23" ht="15.75">
      <c r="A534" s="277">
        <v>43852.777777777781</v>
      </c>
      <c r="B534" s="277">
        <v>43852.784722222219</v>
      </c>
      <c r="C534" s="277">
        <f t="shared" si="25"/>
        <v>6.9444444379769266E-3</v>
      </c>
      <c r="D534" s="278">
        <v>3.472222222222222E-3</v>
      </c>
      <c r="E534" s="329" t="s">
        <v>327</v>
      </c>
      <c r="F534" s="330"/>
      <c r="G534" s="330"/>
      <c r="H534" s="330"/>
      <c r="I534" s="330"/>
      <c r="J534" s="330"/>
      <c r="K534" s="330"/>
      <c r="L534" s="330"/>
      <c r="M534" s="330"/>
      <c r="N534" s="330"/>
      <c r="O534" s="330"/>
      <c r="P534" s="330"/>
      <c r="Q534" s="330"/>
      <c r="R534" s="330"/>
      <c r="S534" s="330"/>
      <c r="T534" s="330"/>
      <c r="U534" s="331"/>
      <c r="V534" s="247" t="e">
        <f>VLOOKUP(E534,Лист4!A$2:G$395,7,FALSE)</f>
        <v>#N/A</v>
      </c>
      <c r="W534" s="247">
        <f>8.33*0.16</f>
        <v>1.3328</v>
      </c>
    </row>
    <row r="535" spans="1:23" ht="48">
      <c r="A535" s="277">
        <v>43852.784722222219</v>
      </c>
      <c r="B535" s="277">
        <v>43852.805555555555</v>
      </c>
      <c r="C535" s="277">
        <f t="shared" si="25"/>
        <v>2.0833333335758653E-2</v>
      </c>
      <c r="D535" s="278">
        <v>2.0833333333333332E-2</v>
      </c>
      <c r="E535" s="279">
        <v>130</v>
      </c>
      <c r="F535" s="280" t="s">
        <v>440</v>
      </c>
      <c r="G535" s="280" t="s">
        <v>518</v>
      </c>
      <c r="H535" s="281" t="s">
        <v>259</v>
      </c>
      <c r="I535" s="282">
        <v>43853</v>
      </c>
      <c r="J535" s="283"/>
      <c r="K535" s="279" t="s">
        <v>227</v>
      </c>
      <c r="L535" s="284"/>
      <c r="M535" s="285" t="s">
        <v>276</v>
      </c>
      <c r="N535" s="280" t="s">
        <v>35</v>
      </c>
      <c r="O535" s="279">
        <v>250</v>
      </c>
      <c r="P535" s="279" t="s">
        <v>228</v>
      </c>
      <c r="Q535" s="286" t="s">
        <v>229</v>
      </c>
      <c r="R535" s="287">
        <v>2500</v>
      </c>
      <c r="S535" s="287">
        <v>2440</v>
      </c>
      <c r="T535" s="283" t="s">
        <v>232</v>
      </c>
      <c r="U535" s="287" t="s">
        <v>77</v>
      </c>
      <c r="V535" s="247" t="s">
        <v>286</v>
      </c>
      <c r="W535" s="247">
        <f>IF(ISNA(V535),VLOOKUP(E535,категория!A$42:C$74,3,),R535*8.333/VLOOKUP(V535,категория!A$42:C$74,2,))</f>
        <v>6.3128787878787875</v>
      </c>
    </row>
    <row r="536" spans="1:23" ht="15.75">
      <c r="A536" s="277">
        <v>43852.805555555555</v>
      </c>
      <c r="B536" s="277">
        <v>43852.8125</v>
      </c>
      <c r="C536" s="277">
        <f t="shared" si="25"/>
        <v>6.9444444452528842E-3</v>
      </c>
      <c r="D536" s="278">
        <v>6.9444444444444441E-3</v>
      </c>
      <c r="E536" s="329" t="s">
        <v>170</v>
      </c>
      <c r="F536" s="330"/>
      <c r="G536" s="330"/>
      <c r="H536" s="330"/>
      <c r="I536" s="330"/>
      <c r="J536" s="330"/>
      <c r="K536" s="330"/>
      <c r="L536" s="330"/>
      <c r="M536" s="330"/>
      <c r="N536" s="330"/>
      <c r="O536" s="330"/>
      <c r="P536" s="330"/>
      <c r="Q536" s="330"/>
      <c r="R536" s="330"/>
      <c r="S536" s="330"/>
      <c r="T536" s="330"/>
      <c r="U536" s="331"/>
      <c r="V536" s="247" t="e">
        <f>VLOOKUP(E536,Лист4!A$2:G$395,7,FALSE)</f>
        <v>#N/A</v>
      </c>
      <c r="W536" s="247">
        <f>IF(ISNA(V536),VLOOKUP(E536,категория!A$42:C$74,3,),6.94+R536*8.333/VLOOKUP(V536,категория!A$42:C$74,2,))</f>
        <v>2.085</v>
      </c>
    </row>
    <row r="537" spans="1:23" ht="15.75">
      <c r="A537" s="277">
        <v>43852.8125</v>
      </c>
      <c r="B537" s="277">
        <v>43852.833333333336</v>
      </c>
      <c r="C537" s="277">
        <f t="shared" si="25"/>
        <v>2.0833333335758653E-2</v>
      </c>
      <c r="D537" s="278">
        <v>2.0833333333333332E-2</v>
      </c>
      <c r="E537" s="329" t="s">
        <v>22</v>
      </c>
      <c r="F537" s="330"/>
      <c r="G537" s="330"/>
      <c r="H537" s="330"/>
      <c r="I537" s="330"/>
      <c r="J537" s="330"/>
      <c r="K537" s="330"/>
      <c r="L537" s="330"/>
      <c r="M537" s="330"/>
      <c r="N537" s="330"/>
      <c r="O537" s="330"/>
      <c r="P537" s="330"/>
      <c r="Q537" s="330"/>
      <c r="R537" s="330"/>
      <c r="S537" s="330"/>
      <c r="T537" s="330"/>
      <c r="U537" s="331"/>
      <c r="V537" s="247" t="e">
        <f>VLOOKUP(E537,Лист4!A$2:G$395,7,FALSE)</f>
        <v>#N/A</v>
      </c>
      <c r="W537" s="247">
        <f>IF(ISNA(V537),VLOOKUP(E537,категория!A$42:C$74,3,),6.94+R537*8.333/VLOOKUP(V537,категория!A$42:C$74,2,))</f>
        <v>4.17</v>
      </c>
    </row>
    <row r="538" spans="1:23" ht="15.75">
      <c r="A538" s="288">
        <v>43852.833333333336</v>
      </c>
      <c r="B538" s="332" t="s">
        <v>519</v>
      </c>
      <c r="C538" s="333"/>
      <c r="D538" s="334"/>
      <c r="E538" s="334"/>
      <c r="F538" s="334"/>
      <c r="G538" s="334"/>
      <c r="H538" s="334"/>
      <c r="I538" s="334"/>
      <c r="J538" s="334"/>
      <c r="K538" s="334"/>
      <c r="L538" s="334"/>
      <c r="M538" s="334"/>
      <c r="N538" s="334"/>
      <c r="O538" s="334"/>
      <c r="P538" s="334"/>
      <c r="Q538" s="334"/>
      <c r="R538" s="334"/>
      <c r="S538" s="334"/>
      <c r="T538" s="334"/>
      <c r="U538" s="335"/>
      <c r="V538" s="247" t="e">
        <f>VLOOKUP(E538,Лист4!A$2:G$395,7,FALSE)</f>
        <v>#N/A</v>
      </c>
      <c r="W538" s="52">
        <f>SUM(W512:W537)</f>
        <v>121.45643648484848</v>
      </c>
    </row>
    <row r="539" spans="1:23" ht="15.75">
      <c r="A539" s="277">
        <v>43852.833333333336</v>
      </c>
      <c r="B539" s="277">
        <v>43852.854166666664</v>
      </c>
      <c r="C539" s="277">
        <f>B539-A539</f>
        <v>2.0833333328482695E-2</v>
      </c>
      <c r="D539" s="278">
        <v>2.0833333333333332E-2</v>
      </c>
      <c r="E539" s="329" t="s">
        <v>22</v>
      </c>
      <c r="F539" s="330"/>
      <c r="G539" s="330"/>
      <c r="H539" s="330"/>
      <c r="I539" s="330"/>
      <c r="J539" s="330"/>
      <c r="K539" s="330"/>
      <c r="L539" s="330"/>
      <c r="M539" s="330"/>
      <c r="N539" s="330"/>
      <c r="O539" s="330"/>
      <c r="P539" s="330"/>
      <c r="Q539" s="330"/>
      <c r="R539" s="330"/>
      <c r="S539" s="330"/>
      <c r="T539" s="330"/>
      <c r="U539" s="331"/>
      <c r="V539" s="247" t="e">
        <f>VLOOKUP(E539,Лист4!A$2:G$395,7,FALSE)</f>
        <v>#N/A</v>
      </c>
      <c r="W539" s="247">
        <f>IF(ISNA(V539),VLOOKUP(E539,категория!A$42:C$74,3,),6.94+R539*8.333/VLOOKUP(V539,категория!A$42:C$74,2,))</f>
        <v>4.17</v>
      </c>
    </row>
    <row r="540" spans="1:23" ht="15.75">
      <c r="A540" s="277">
        <v>43852.854166666664</v>
      </c>
      <c r="B540" s="277">
        <v>43852.885416666664</v>
      </c>
      <c r="C540" s="277">
        <f t="shared" ref="C540:C560" si="26">B540-A540</f>
        <v>3.125E-2</v>
      </c>
      <c r="D540" s="278">
        <v>4.1666666666666664E-2</v>
      </c>
      <c r="E540" s="329" t="s">
        <v>28</v>
      </c>
      <c r="F540" s="330"/>
      <c r="G540" s="330"/>
      <c r="H540" s="330"/>
      <c r="I540" s="330"/>
      <c r="J540" s="330"/>
      <c r="K540" s="330"/>
      <c r="L540" s="330"/>
      <c r="M540" s="330"/>
      <c r="N540" s="330"/>
      <c r="O540" s="330"/>
      <c r="P540" s="330"/>
      <c r="Q540" s="330"/>
      <c r="R540" s="330"/>
      <c r="S540" s="330"/>
      <c r="T540" s="330"/>
      <c r="U540" s="331"/>
      <c r="V540" s="247" t="e">
        <f>VLOOKUP(E540,Лист4!A$2:G$395,7,FALSE)</f>
        <v>#N/A</v>
      </c>
      <c r="W540" s="247">
        <f>IF(ISNA(V540),VLOOKUP(E540,категория!A$42:C$74,3,),6.94+R540*8.333/VLOOKUP(V540,категория!A$42:C$74,2,))*0.75</f>
        <v>6.2499749999999992</v>
      </c>
    </row>
    <row r="541" spans="1:23" ht="48">
      <c r="A541" s="277">
        <v>43852.885416666664</v>
      </c>
      <c r="B541" s="277">
        <v>43852.90625</v>
      </c>
      <c r="C541" s="277">
        <f t="shared" si="26"/>
        <v>2.0833333335758653E-2</v>
      </c>
      <c r="D541" s="278">
        <v>2.0833333333333332E-2</v>
      </c>
      <c r="E541" s="279">
        <v>130</v>
      </c>
      <c r="F541" s="280" t="s">
        <v>440</v>
      </c>
      <c r="G541" s="280" t="s">
        <v>518</v>
      </c>
      <c r="H541" s="281" t="s">
        <v>260</v>
      </c>
      <c r="I541" s="282">
        <v>43853</v>
      </c>
      <c r="J541" s="283"/>
      <c r="K541" s="279" t="s">
        <v>227</v>
      </c>
      <c r="L541" s="284"/>
      <c r="M541" s="285" t="s">
        <v>276</v>
      </c>
      <c r="N541" s="280" t="s">
        <v>35</v>
      </c>
      <c r="O541" s="279">
        <v>250</v>
      </c>
      <c r="P541" s="279" t="s">
        <v>228</v>
      </c>
      <c r="Q541" s="286" t="s">
        <v>229</v>
      </c>
      <c r="R541" s="287">
        <v>2500</v>
      </c>
      <c r="S541" s="287">
        <v>2440</v>
      </c>
      <c r="T541" s="283" t="s">
        <v>232</v>
      </c>
      <c r="U541" s="287" t="s">
        <v>230</v>
      </c>
      <c r="V541" s="247" t="s">
        <v>286</v>
      </c>
      <c r="W541" s="247">
        <f>IF(ISNA(V541),VLOOKUP(E541,категория!A$42:C$74,3,),R541*8.333/VLOOKUP(V541,категория!A$42:C$74,2,))</f>
        <v>6.3128787878787875</v>
      </c>
    </row>
    <row r="542" spans="1:23" ht="15.75">
      <c r="A542" s="277">
        <v>43852.90625</v>
      </c>
      <c r="B542" s="277">
        <v>43852.909722222219</v>
      </c>
      <c r="C542" s="277">
        <f t="shared" si="26"/>
        <v>3.4722222189884633E-3</v>
      </c>
      <c r="D542" s="278">
        <v>1.0416666666666666E-2</v>
      </c>
      <c r="E542" s="329" t="s">
        <v>170</v>
      </c>
      <c r="F542" s="330"/>
      <c r="G542" s="330"/>
      <c r="H542" s="330"/>
      <c r="I542" s="330"/>
      <c r="J542" s="330"/>
      <c r="K542" s="330"/>
      <c r="L542" s="330"/>
      <c r="M542" s="330"/>
      <c r="N542" s="330"/>
      <c r="O542" s="330"/>
      <c r="P542" s="330"/>
      <c r="Q542" s="330"/>
      <c r="R542" s="330"/>
      <c r="S542" s="330"/>
      <c r="T542" s="330"/>
      <c r="U542" s="331"/>
      <c r="V542" s="247" t="e">
        <f>VLOOKUP(E542,Лист4!A$2:G$395,7,FALSE)</f>
        <v>#N/A</v>
      </c>
      <c r="W542" s="247">
        <f>IF(ISNA(V542),VLOOKUP(E542,категория!A$42:C$74,3,),6.94+R542*8.333/VLOOKUP(V542,категория!A$42:C$74,2,))</f>
        <v>2.085</v>
      </c>
    </row>
    <row r="543" spans="1:23" ht="15.75">
      <c r="A543" s="277">
        <v>43852.909722222219</v>
      </c>
      <c r="B543" s="277">
        <v>43852.920138888891</v>
      </c>
      <c r="C543" s="277">
        <f t="shared" si="26"/>
        <v>1.0416666671517305E-2</v>
      </c>
      <c r="D543" s="278">
        <v>3.472222222222222E-3</v>
      </c>
      <c r="E543" s="329" t="s">
        <v>327</v>
      </c>
      <c r="F543" s="330"/>
      <c r="G543" s="330"/>
      <c r="H543" s="330"/>
      <c r="I543" s="330"/>
      <c r="J543" s="330"/>
      <c r="K543" s="330"/>
      <c r="L543" s="330"/>
      <c r="M543" s="330"/>
      <c r="N543" s="330"/>
      <c r="O543" s="330"/>
      <c r="P543" s="330"/>
      <c r="Q543" s="330"/>
      <c r="R543" s="330"/>
      <c r="S543" s="330"/>
      <c r="T543" s="330"/>
      <c r="U543" s="331"/>
      <c r="V543" s="247" t="e">
        <f>VLOOKUP(E543,Лист4!A$2:G$395,7,FALSE)</f>
        <v>#N/A</v>
      </c>
      <c r="W543" s="247">
        <f>8.33*0.25</f>
        <v>2.0825</v>
      </c>
    </row>
    <row r="544" spans="1:23" ht="48">
      <c r="A544" s="277">
        <v>43852.920138888891</v>
      </c>
      <c r="B544" s="277">
        <v>43852.951388888891</v>
      </c>
      <c r="C544" s="277">
        <f t="shared" si="26"/>
        <v>3.125E-2</v>
      </c>
      <c r="D544" s="278">
        <v>3.125E-2</v>
      </c>
      <c r="E544" s="279">
        <v>130</v>
      </c>
      <c r="F544" s="280" t="s">
        <v>440</v>
      </c>
      <c r="G544" s="280" t="s">
        <v>518</v>
      </c>
      <c r="H544" s="281" t="s">
        <v>261</v>
      </c>
      <c r="I544" s="282">
        <v>43853</v>
      </c>
      <c r="J544" s="283"/>
      <c r="K544" s="279" t="s">
        <v>227</v>
      </c>
      <c r="L544" s="284"/>
      <c r="M544" s="285" t="s">
        <v>276</v>
      </c>
      <c r="N544" s="280" t="s">
        <v>35</v>
      </c>
      <c r="O544" s="279">
        <v>250</v>
      </c>
      <c r="P544" s="279" t="s">
        <v>228</v>
      </c>
      <c r="Q544" s="286" t="s">
        <v>229</v>
      </c>
      <c r="R544" s="287">
        <v>3000</v>
      </c>
      <c r="S544" s="287">
        <v>3660</v>
      </c>
      <c r="T544" s="283" t="s">
        <v>232</v>
      </c>
      <c r="U544" s="287" t="s">
        <v>230</v>
      </c>
      <c r="V544" s="247" t="s">
        <v>286</v>
      </c>
      <c r="W544" s="247">
        <f>IF(ISNA(V544),VLOOKUP(E544,категория!A$42:C$74,3,),R544*8.333/VLOOKUP(V544,категория!A$42:C$74,2,))</f>
        <v>7.5754545454545452</v>
      </c>
    </row>
    <row r="545" spans="1:23" ht="15.75">
      <c r="A545" s="277">
        <v>43852.951388888891</v>
      </c>
      <c r="B545" s="277">
        <v>43852.958333333336</v>
      </c>
      <c r="C545" s="277">
        <f t="shared" si="26"/>
        <v>6.9444444452528842E-3</v>
      </c>
      <c r="D545" s="278">
        <v>1.0416666666666666E-2</v>
      </c>
      <c r="E545" s="329" t="s">
        <v>170</v>
      </c>
      <c r="F545" s="330"/>
      <c r="G545" s="330"/>
      <c r="H545" s="330"/>
      <c r="I545" s="330"/>
      <c r="J545" s="330"/>
      <c r="K545" s="330"/>
      <c r="L545" s="330"/>
      <c r="M545" s="330"/>
      <c r="N545" s="330"/>
      <c r="O545" s="330"/>
      <c r="P545" s="330"/>
      <c r="Q545" s="330"/>
      <c r="R545" s="330"/>
      <c r="S545" s="330"/>
      <c r="T545" s="330"/>
      <c r="U545" s="331"/>
      <c r="V545" s="247" t="e">
        <f>VLOOKUP(E545,Лист4!A$2:G$395,7,FALSE)</f>
        <v>#N/A</v>
      </c>
      <c r="W545" s="247">
        <f>IF(ISNA(V545),VLOOKUP(E545,категория!A$42:C$74,3,),6.94+R545*8.333/VLOOKUP(V545,категория!A$42:C$74,2,))</f>
        <v>2.085</v>
      </c>
    </row>
    <row r="546" spans="1:23" ht="15.75">
      <c r="A546" s="277">
        <v>43852.958333333336</v>
      </c>
      <c r="B546" s="277">
        <v>43852.96875</v>
      </c>
      <c r="C546" s="277">
        <f t="shared" si="26"/>
        <v>1.0416666664241347E-2</v>
      </c>
      <c r="D546" s="278">
        <v>2.0833333333333332E-2</v>
      </c>
      <c r="E546" s="329" t="s">
        <v>2</v>
      </c>
      <c r="F546" s="330"/>
      <c r="G546" s="330"/>
      <c r="H546" s="330"/>
      <c r="I546" s="330"/>
      <c r="J546" s="330"/>
      <c r="K546" s="330"/>
      <c r="L546" s="330"/>
      <c r="M546" s="330"/>
      <c r="N546" s="330"/>
      <c r="O546" s="330"/>
      <c r="P546" s="330"/>
      <c r="Q546" s="330"/>
      <c r="R546" s="330"/>
      <c r="S546" s="330"/>
      <c r="T546" s="330"/>
      <c r="U546" s="331"/>
      <c r="V546" s="247" t="e">
        <f>VLOOKUP(E546,Лист4!A$2:G$395,7,FALSE)</f>
        <v>#N/A</v>
      </c>
      <c r="W546" s="247">
        <f>IF(ISNA(V546),VLOOKUP(E546,категория!A$42:C$74,3,),6.94+R546*8.333/VLOOKUP(V546,категория!A$42:C$74,2,))</f>
        <v>4.17</v>
      </c>
    </row>
    <row r="547" spans="1:23" ht="15.75">
      <c r="A547" s="277">
        <v>43852.96875</v>
      </c>
      <c r="B547" s="277">
        <v>43853.003472222219</v>
      </c>
      <c r="C547" s="277">
        <f t="shared" si="26"/>
        <v>3.4722222218988463E-2</v>
      </c>
      <c r="D547" s="278">
        <v>4.1666666666666664E-2</v>
      </c>
      <c r="E547" s="329" t="s">
        <v>172</v>
      </c>
      <c r="F547" s="330"/>
      <c r="G547" s="330"/>
      <c r="H547" s="330"/>
      <c r="I547" s="330"/>
      <c r="J547" s="330"/>
      <c r="K547" s="330"/>
      <c r="L547" s="330"/>
      <c r="M547" s="330"/>
      <c r="N547" s="330"/>
      <c r="O547" s="330"/>
      <c r="P547" s="330"/>
      <c r="Q547" s="330"/>
      <c r="R547" s="330"/>
      <c r="S547" s="330"/>
      <c r="T547" s="330"/>
      <c r="U547" s="331"/>
      <c r="V547" s="247" t="e">
        <f>VLOOKUP(E547,Лист4!A$2:G$395,7,FALSE)</f>
        <v>#N/A</v>
      </c>
      <c r="W547" s="247">
        <f>IF(ISNA(V547),VLOOKUP(E547,категория!A$42:C$74,3,),6.94+R547*8.333/VLOOKUP(V547,категория!A$42:C$74,2,))</f>
        <v>16.670000000000002</v>
      </c>
    </row>
    <row r="548" spans="1:23" ht="15.75">
      <c r="A548" s="277">
        <v>43853.003472222219</v>
      </c>
      <c r="B548" s="277">
        <v>43853.045138888891</v>
      </c>
      <c r="C548" s="277">
        <f t="shared" si="26"/>
        <v>4.1666666671517305E-2</v>
      </c>
      <c r="D548" s="278">
        <v>3.472222222222222E-3</v>
      </c>
      <c r="E548" s="329" t="s">
        <v>24</v>
      </c>
      <c r="F548" s="330"/>
      <c r="G548" s="330"/>
      <c r="H548" s="330"/>
      <c r="I548" s="330"/>
      <c r="J548" s="330"/>
      <c r="K548" s="330"/>
      <c r="L548" s="330"/>
      <c r="M548" s="330"/>
      <c r="N548" s="330"/>
      <c r="O548" s="330"/>
      <c r="P548" s="330"/>
      <c r="Q548" s="330"/>
      <c r="R548" s="330"/>
      <c r="S548" s="330"/>
      <c r="T548" s="330"/>
      <c r="U548" s="331"/>
      <c r="V548" s="247" t="e">
        <f>VLOOKUP(E548,Лист4!A$2:G$395,7,FALSE)</f>
        <v>#N/A</v>
      </c>
      <c r="W548" s="247">
        <f>IF(ISNA(V548),VLOOKUP(E548,категория!A$42:C$74,3,),6.94+R548*8.333/VLOOKUP(V548,категория!A$42:C$74,2,))</f>
        <v>3.47</v>
      </c>
    </row>
    <row r="549" spans="1:23" ht="15.75">
      <c r="A549" s="277">
        <v>43853.045138888891</v>
      </c>
      <c r="B549" s="277">
        <v>43853.100694444445</v>
      </c>
      <c r="C549" s="277">
        <f t="shared" si="26"/>
        <v>5.5555555554747116E-2</v>
      </c>
      <c r="D549" s="278">
        <v>4.1666666666666664E-2</v>
      </c>
      <c r="E549" s="329" t="s">
        <v>28</v>
      </c>
      <c r="F549" s="330"/>
      <c r="G549" s="330"/>
      <c r="H549" s="330"/>
      <c r="I549" s="330"/>
      <c r="J549" s="330"/>
      <c r="K549" s="330"/>
      <c r="L549" s="330"/>
      <c r="M549" s="330"/>
      <c r="N549" s="330"/>
      <c r="O549" s="330"/>
      <c r="P549" s="330"/>
      <c r="Q549" s="330"/>
      <c r="R549" s="330"/>
      <c r="S549" s="330"/>
      <c r="T549" s="330"/>
      <c r="U549" s="331"/>
      <c r="V549" s="247" t="e">
        <f>VLOOKUP(E549,Лист4!A$2:G$395,7,FALSE)</f>
        <v>#N/A</v>
      </c>
      <c r="W549" s="247">
        <f>IF(ISNA(V549),VLOOKUP(E549,категория!A$42:C$74,3,),6.94+R549*8.333/VLOOKUP(V549,категория!A$42:C$74,2,))*1.333</f>
        <v>11.1082889</v>
      </c>
    </row>
    <row r="550" spans="1:23" ht="48">
      <c r="A550" s="277">
        <v>43853.100694444445</v>
      </c>
      <c r="B550" s="277">
        <v>43853.135416666664</v>
      </c>
      <c r="C550" s="277">
        <f t="shared" si="26"/>
        <v>3.4722222218988463E-2</v>
      </c>
      <c r="D550" s="278">
        <v>3.4722222222222224E-2</v>
      </c>
      <c r="E550" s="279">
        <v>156</v>
      </c>
      <c r="F550" s="280" t="s">
        <v>274</v>
      </c>
      <c r="G550" s="280" t="s">
        <v>520</v>
      </c>
      <c r="H550" s="281" t="s">
        <v>226</v>
      </c>
      <c r="I550" s="282">
        <v>43854</v>
      </c>
      <c r="J550" s="283"/>
      <c r="K550" s="279" t="s">
        <v>227</v>
      </c>
      <c r="L550" s="284"/>
      <c r="M550" s="285"/>
      <c r="N550" s="280" t="s">
        <v>41</v>
      </c>
      <c r="O550" s="279">
        <v>170</v>
      </c>
      <c r="P550" s="279" t="s">
        <v>236</v>
      </c>
      <c r="Q550" s="286" t="s">
        <v>229</v>
      </c>
      <c r="R550" s="287">
        <v>1120</v>
      </c>
      <c r="S550" s="287">
        <v>1240</v>
      </c>
      <c r="T550" s="283" t="s">
        <v>232</v>
      </c>
      <c r="U550" s="287" t="s">
        <v>230</v>
      </c>
      <c r="V550" s="247" t="str">
        <f>VLOOKUP(E550,Лист4!A$2:G$395,7,FALSE)</f>
        <v>мел+офсет</v>
      </c>
      <c r="W550" s="247">
        <f>IF(ISNA(V550),VLOOKUP(E550,категория!A$42:C$74,3,),6.94+R550*8.333/VLOOKUP(V550,категория!A$42:C$74,2,))</f>
        <v>8.8065920000000002</v>
      </c>
    </row>
    <row r="551" spans="1:23" ht="15.75">
      <c r="A551" s="277">
        <v>43853.135416666664</v>
      </c>
      <c r="B551" s="277">
        <v>43853.149305555555</v>
      </c>
      <c r="C551" s="277">
        <f t="shared" si="26"/>
        <v>1.3888888890505768E-2</v>
      </c>
      <c r="D551" s="278">
        <v>2.0833333333333332E-2</v>
      </c>
      <c r="E551" s="329" t="s">
        <v>2</v>
      </c>
      <c r="F551" s="330"/>
      <c r="G551" s="330"/>
      <c r="H551" s="330"/>
      <c r="I551" s="330"/>
      <c r="J551" s="330"/>
      <c r="K551" s="330"/>
      <c r="L551" s="330"/>
      <c r="M551" s="330"/>
      <c r="N551" s="330"/>
      <c r="O551" s="330"/>
      <c r="P551" s="330"/>
      <c r="Q551" s="330"/>
      <c r="R551" s="330"/>
      <c r="S551" s="330"/>
      <c r="T551" s="330"/>
      <c r="U551" s="331"/>
      <c r="V551" s="247" t="e">
        <f>VLOOKUP(E551,Лист4!A$2:G$395,7,FALSE)</f>
        <v>#N/A</v>
      </c>
      <c r="W551" s="247">
        <f>IF(ISNA(V551),VLOOKUP(E551,категория!A$42:C$74,3,),6.94+R551*8.333/VLOOKUP(V551,категория!A$42:C$74,2,))</f>
        <v>4.17</v>
      </c>
    </row>
    <row r="552" spans="1:23" ht="15.75">
      <c r="A552" s="277">
        <v>43853.149305555555</v>
      </c>
      <c r="B552" s="277">
        <v>43853.180555555555</v>
      </c>
      <c r="C552" s="277">
        <f t="shared" si="26"/>
        <v>3.125E-2</v>
      </c>
      <c r="D552" s="278">
        <v>3.472222222222222E-3</v>
      </c>
      <c r="E552" s="329" t="s">
        <v>24</v>
      </c>
      <c r="F552" s="330"/>
      <c r="G552" s="330"/>
      <c r="H552" s="330"/>
      <c r="I552" s="330"/>
      <c r="J552" s="330"/>
      <c r="K552" s="330"/>
      <c r="L552" s="330"/>
      <c r="M552" s="330"/>
      <c r="N552" s="330"/>
      <c r="O552" s="330"/>
      <c r="P552" s="330"/>
      <c r="Q552" s="330"/>
      <c r="R552" s="330"/>
      <c r="S552" s="330"/>
      <c r="T552" s="330"/>
      <c r="U552" s="331"/>
      <c r="V552" s="247" t="e">
        <f>VLOOKUP(E552,Лист4!A$2:G$395,7,FALSE)</f>
        <v>#N/A</v>
      </c>
      <c r="W552" s="247">
        <f>IF(ISNA(V552),VLOOKUP(E552,категория!A$42:C$74,3,),6.94+R552*8.333/VLOOKUP(V552,категория!A$42:C$74,2,))</f>
        <v>3.47</v>
      </c>
    </row>
    <row r="553" spans="1:23" ht="120">
      <c r="A553" s="277">
        <v>43853.180555555555</v>
      </c>
      <c r="B553" s="277">
        <v>43853.208333333336</v>
      </c>
      <c r="C553" s="277">
        <f t="shared" si="26"/>
        <v>2.7777777781011537E-2</v>
      </c>
      <c r="D553" s="278">
        <v>2.7777777777777776E-2</v>
      </c>
      <c r="E553" s="279">
        <v>165</v>
      </c>
      <c r="F553" s="280" t="s">
        <v>295</v>
      </c>
      <c r="G553" s="280" t="s">
        <v>521</v>
      </c>
      <c r="H553" s="281" t="s">
        <v>226</v>
      </c>
      <c r="I553" s="282">
        <v>43861</v>
      </c>
      <c r="J553" s="283"/>
      <c r="K553" s="279" t="s">
        <v>227</v>
      </c>
      <c r="L553" s="284"/>
      <c r="M553" s="285"/>
      <c r="N553" s="280" t="s">
        <v>35</v>
      </c>
      <c r="O553" s="279">
        <v>270</v>
      </c>
      <c r="P553" s="279" t="s">
        <v>228</v>
      </c>
      <c r="Q553" s="286" t="s">
        <v>229</v>
      </c>
      <c r="R553" s="287">
        <v>1885</v>
      </c>
      <c r="S553" s="287">
        <v>2385</v>
      </c>
      <c r="T553" s="283" t="s">
        <v>232</v>
      </c>
      <c r="U553" s="287" t="s">
        <v>230</v>
      </c>
      <c r="V553" s="247" t="str">
        <f>VLOOKUP(E553,Лист4!A$2:G$395,7,FALSE)</f>
        <v>картон от 270</v>
      </c>
      <c r="W553" s="247">
        <f>IF(ISNA(V553),VLOOKUP(E553,категория!A$42:C$74,3,),6.94+R553*8.333/VLOOKUP(V553,категория!A$42:C$74,2,))</f>
        <v>12.356450000000001</v>
      </c>
    </row>
    <row r="554" spans="1:23" ht="15.75">
      <c r="A554" s="277">
        <v>43853.208333333336</v>
      </c>
      <c r="B554" s="277">
        <v>43853.215277777781</v>
      </c>
      <c r="C554" s="277">
        <f t="shared" si="26"/>
        <v>6.9444444452528842E-3</v>
      </c>
      <c r="D554" s="278">
        <v>6.9444444444444441E-3</v>
      </c>
      <c r="E554" s="329" t="s">
        <v>170</v>
      </c>
      <c r="F554" s="330"/>
      <c r="G554" s="330"/>
      <c r="H554" s="330"/>
      <c r="I554" s="330"/>
      <c r="J554" s="330"/>
      <c r="K554" s="330"/>
      <c r="L554" s="330"/>
      <c r="M554" s="330"/>
      <c r="N554" s="330"/>
      <c r="O554" s="330"/>
      <c r="P554" s="330"/>
      <c r="Q554" s="330"/>
      <c r="R554" s="330"/>
      <c r="S554" s="330"/>
      <c r="T554" s="330"/>
      <c r="U554" s="331"/>
      <c r="V554" s="247" t="e">
        <f>VLOOKUP(E554,Лист4!A$2:G$395,7,FALSE)</f>
        <v>#N/A</v>
      </c>
      <c r="W554" s="247">
        <f>IF(ISNA(V554),VLOOKUP(E554,категория!A$42:C$74,3,),6.94+R554*8.333/VLOOKUP(V554,категория!A$42:C$74,2,))</f>
        <v>2.085</v>
      </c>
    </row>
    <row r="555" spans="1:23" ht="15.75">
      <c r="A555" s="277">
        <v>43853.215277777781</v>
      </c>
      <c r="B555" s="277">
        <v>43853.243055555555</v>
      </c>
      <c r="C555" s="277">
        <f t="shared" si="26"/>
        <v>2.7777777773735579E-2</v>
      </c>
      <c r="D555" s="278">
        <v>3.4722222222222224E-2</v>
      </c>
      <c r="E555" s="329" t="s">
        <v>16</v>
      </c>
      <c r="F555" s="330"/>
      <c r="G555" s="330"/>
      <c r="H555" s="330"/>
      <c r="I555" s="330"/>
      <c r="J555" s="330"/>
      <c r="K555" s="330"/>
      <c r="L555" s="330"/>
      <c r="M555" s="330"/>
      <c r="N555" s="330"/>
      <c r="O555" s="330"/>
      <c r="P555" s="330"/>
      <c r="Q555" s="330"/>
      <c r="R555" s="330"/>
      <c r="S555" s="330"/>
      <c r="T555" s="330"/>
      <c r="U555" s="331"/>
      <c r="V555" s="247" t="e">
        <f>VLOOKUP(E555,Лист4!A$2:G$395,7,FALSE)</f>
        <v>#N/A</v>
      </c>
      <c r="W555" s="247">
        <f>IF(ISNA(V555),VLOOKUP(E555,категория!A$42:C$74,3,),6.94+R555*8.333/VLOOKUP(V555,категория!A$42:C$74,2,))</f>
        <v>8.3330000000000002</v>
      </c>
    </row>
    <row r="556" spans="1:23" ht="15.75">
      <c r="A556" s="277">
        <v>43853.243055555555</v>
      </c>
      <c r="B556" s="277">
        <v>43853.256944444445</v>
      </c>
      <c r="C556" s="277">
        <f t="shared" si="26"/>
        <v>1.3888888890505768E-2</v>
      </c>
      <c r="D556" s="278">
        <v>2.0833333333333332E-2</v>
      </c>
      <c r="E556" s="329" t="s">
        <v>8</v>
      </c>
      <c r="F556" s="330"/>
      <c r="G556" s="330"/>
      <c r="H556" s="330"/>
      <c r="I556" s="330"/>
      <c r="J556" s="330"/>
      <c r="K556" s="330"/>
      <c r="L556" s="330"/>
      <c r="M556" s="330"/>
      <c r="N556" s="330"/>
      <c r="O556" s="330"/>
      <c r="P556" s="330"/>
      <c r="Q556" s="330"/>
      <c r="R556" s="330"/>
      <c r="S556" s="330"/>
      <c r="T556" s="330"/>
      <c r="U556" s="331"/>
      <c r="V556" s="247" t="e">
        <f>VLOOKUP(E556,Лист4!A$2:G$395,7,FALSE)</f>
        <v>#N/A</v>
      </c>
      <c r="W556" s="247">
        <f>IF(ISNA(V556),VLOOKUP(E556,категория!A$42:C$74,3,),6.94+R556*8.333/VLOOKUP(V556,категория!A$42:C$74,2,))</f>
        <v>4.17</v>
      </c>
    </row>
    <row r="557" spans="1:23" ht="120">
      <c r="A557" s="277">
        <v>43853.256944444445</v>
      </c>
      <c r="B557" s="277">
        <v>43853.284722222219</v>
      </c>
      <c r="C557" s="277">
        <f t="shared" si="26"/>
        <v>2.7777777773735579E-2</v>
      </c>
      <c r="D557" s="278">
        <v>2.7777777777777776E-2</v>
      </c>
      <c r="E557" s="279">
        <v>165</v>
      </c>
      <c r="F557" s="280" t="s">
        <v>295</v>
      </c>
      <c r="G557" s="280" t="s">
        <v>521</v>
      </c>
      <c r="H557" s="281" t="s">
        <v>273</v>
      </c>
      <c r="I557" s="282">
        <v>43861</v>
      </c>
      <c r="J557" s="283"/>
      <c r="K557" s="279" t="s">
        <v>267</v>
      </c>
      <c r="L557" s="284" t="s">
        <v>232</v>
      </c>
      <c r="M557" s="285"/>
      <c r="N557" s="280" t="s">
        <v>35</v>
      </c>
      <c r="O557" s="279">
        <v>270</v>
      </c>
      <c r="P557" s="279" t="s">
        <v>228</v>
      </c>
      <c r="Q557" s="286" t="s">
        <v>241</v>
      </c>
      <c r="R557" s="287">
        <v>2080</v>
      </c>
      <c r="S557" s="287">
        <v>1917</v>
      </c>
      <c r="T557" s="283" t="s">
        <v>232</v>
      </c>
      <c r="U557" s="287" t="s">
        <v>230</v>
      </c>
      <c r="V557" s="247" t="str">
        <f>VLOOKUP(E557,Лист4!A$2:G$395,7,FALSE)</f>
        <v>картон от 270</v>
      </c>
      <c r="W557" s="247">
        <f>IF(ISNA(V557),VLOOKUP(E557,категория!A$42:C$74,3,),6.94/2+R557*8.333/VLOOKUP(V557,категория!A$42:C$74,2,))</f>
        <v>9.446772413793104</v>
      </c>
    </row>
    <row r="558" spans="1:23" ht="15.75">
      <c r="A558" s="277">
        <v>43853.284722222219</v>
      </c>
      <c r="B558" s="277">
        <v>43853.291666666664</v>
      </c>
      <c r="C558" s="277">
        <f t="shared" si="26"/>
        <v>6.9444444452528842E-3</v>
      </c>
      <c r="D558" s="278">
        <v>6.9444444444444441E-3</v>
      </c>
      <c r="E558" s="329" t="s">
        <v>170</v>
      </c>
      <c r="F558" s="330"/>
      <c r="G558" s="330"/>
      <c r="H558" s="330"/>
      <c r="I558" s="330"/>
      <c r="J558" s="330"/>
      <c r="K558" s="330"/>
      <c r="L558" s="330"/>
      <c r="M558" s="330"/>
      <c r="N558" s="330"/>
      <c r="O558" s="330"/>
      <c r="P558" s="330"/>
      <c r="Q558" s="330"/>
      <c r="R558" s="330"/>
      <c r="S558" s="330"/>
      <c r="T558" s="330"/>
      <c r="U558" s="331"/>
      <c r="V558" s="247" t="e">
        <f>VLOOKUP(E558,Лист4!A$2:G$395,7,FALSE)</f>
        <v>#N/A</v>
      </c>
      <c r="W558" s="247">
        <f>IF(ISNA(V558),VLOOKUP(E558,категория!A$42:C$74,3,),6.94+R558*8.333/VLOOKUP(V558,категория!A$42:C$74,2,))</f>
        <v>2.085</v>
      </c>
    </row>
    <row r="559" spans="1:23" ht="15.75">
      <c r="A559" s="277">
        <v>43853.291666666664</v>
      </c>
      <c r="B559" s="277">
        <v>43853.319444444445</v>
      </c>
      <c r="C559" s="277">
        <f t="shared" si="26"/>
        <v>2.7777777781011537E-2</v>
      </c>
      <c r="D559" s="278">
        <v>3.4722222222222224E-2</v>
      </c>
      <c r="E559" s="329" t="s">
        <v>16</v>
      </c>
      <c r="F559" s="330"/>
      <c r="G559" s="330"/>
      <c r="H559" s="330"/>
      <c r="I559" s="330"/>
      <c r="J559" s="330"/>
      <c r="K559" s="330"/>
      <c r="L559" s="330"/>
      <c r="M559" s="330"/>
      <c r="N559" s="330"/>
      <c r="O559" s="330"/>
      <c r="P559" s="330"/>
      <c r="Q559" s="330"/>
      <c r="R559" s="330"/>
      <c r="S559" s="330"/>
      <c r="T559" s="330"/>
      <c r="U559" s="331"/>
      <c r="V559" s="247" t="e">
        <f>VLOOKUP(E559,Лист4!A$2:G$395,7,FALSE)</f>
        <v>#N/A</v>
      </c>
      <c r="W559" s="247">
        <f>IF(ISNA(V559),VLOOKUP(E559,категория!A$42:C$74,3,),6.94+R559*8.333/VLOOKUP(V559,категория!A$42:C$74,2,))</f>
        <v>8.3330000000000002</v>
      </c>
    </row>
    <row r="560" spans="1:23" ht="15.75">
      <c r="A560" s="277">
        <v>43853.319444444445</v>
      </c>
      <c r="B560" s="277">
        <v>43853.333333333336</v>
      </c>
      <c r="C560" s="277">
        <f t="shared" si="26"/>
        <v>1.3888888890505768E-2</v>
      </c>
      <c r="D560" s="278">
        <v>2.0833333333333332E-2</v>
      </c>
      <c r="E560" s="329" t="s">
        <v>22</v>
      </c>
      <c r="F560" s="330"/>
      <c r="G560" s="330"/>
      <c r="H560" s="330"/>
      <c r="I560" s="330"/>
      <c r="J560" s="330"/>
      <c r="K560" s="330"/>
      <c r="L560" s="330"/>
      <c r="M560" s="330"/>
      <c r="N560" s="330"/>
      <c r="O560" s="330"/>
      <c r="P560" s="330"/>
      <c r="Q560" s="330"/>
      <c r="R560" s="330"/>
      <c r="S560" s="330"/>
      <c r="T560" s="330"/>
      <c r="U560" s="331"/>
      <c r="V560" s="247" t="e">
        <f>VLOOKUP(E560,Лист4!A$2:G$395,7,FALSE)</f>
        <v>#N/A</v>
      </c>
      <c r="W560" s="247">
        <f>IF(ISNA(V560),VLOOKUP(E560,категория!A$42:C$74,3,),6.94+R560*8.333/VLOOKUP(V560,категория!A$42:C$74,2,))</f>
        <v>4.17</v>
      </c>
    </row>
    <row r="561" spans="1:23" ht="15.75">
      <c r="A561" s="288">
        <v>43853.333333333336</v>
      </c>
      <c r="B561" s="332" t="s">
        <v>522</v>
      </c>
      <c r="C561" s="333"/>
      <c r="D561" s="334"/>
      <c r="E561" s="334"/>
      <c r="F561" s="334"/>
      <c r="G561" s="334"/>
      <c r="H561" s="334"/>
      <c r="I561" s="334"/>
      <c r="J561" s="334"/>
      <c r="K561" s="334"/>
      <c r="L561" s="334"/>
      <c r="M561" s="334"/>
      <c r="N561" s="334"/>
      <c r="O561" s="334"/>
      <c r="P561" s="334"/>
      <c r="Q561" s="334"/>
      <c r="R561" s="334"/>
      <c r="S561" s="334"/>
      <c r="T561" s="334"/>
      <c r="U561" s="335"/>
      <c r="V561" s="247" t="e">
        <f>VLOOKUP(E561,Лист4!A$2:G$395,7,FALSE)</f>
        <v>#N/A</v>
      </c>
      <c r="W561" s="52">
        <f>SUM(W539:W560)</f>
        <v>133.4049116471264</v>
      </c>
    </row>
    <row r="562" spans="1:23" ht="15.75">
      <c r="A562" s="277">
        <v>43853.333333333336</v>
      </c>
      <c r="B562" s="277">
        <v>43853.354166666664</v>
      </c>
      <c r="C562" s="277">
        <f>B562-A562</f>
        <v>2.0833333328482695E-2</v>
      </c>
      <c r="D562" s="278">
        <v>2.0833333333333332E-2</v>
      </c>
      <c r="E562" s="329" t="s">
        <v>22</v>
      </c>
      <c r="F562" s="330"/>
      <c r="G562" s="330"/>
      <c r="H562" s="330"/>
      <c r="I562" s="330"/>
      <c r="J562" s="330"/>
      <c r="K562" s="330"/>
      <c r="L562" s="330"/>
      <c r="M562" s="330"/>
      <c r="N562" s="330"/>
      <c r="O562" s="330"/>
      <c r="P562" s="330"/>
      <c r="Q562" s="330"/>
      <c r="R562" s="330"/>
      <c r="S562" s="330"/>
      <c r="T562" s="330"/>
      <c r="U562" s="331"/>
      <c r="V562" s="247" t="e">
        <f>VLOOKUP(E562,Лист4!A$2:G$395,7,FALSE)</f>
        <v>#N/A</v>
      </c>
      <c r="W562" s="247">
        <f>IF(ISNA(V562),VLOOKUP(E562,категория!A$42:C$74,3,),6.94+R562*8.333/VLOOKUP(V562,категория!A$42:C$74,2,))</f>
        <v>4.17</v>
      </c>
    </row>
    <row r="563" spans="1:23" ht="15.75">
      <c r="A563" s="277">
        <v>43853.354166666664</v>
      </c>
      <c r="B563" s="277">
        <v>43853.364583333336</v>
      </c>
      <c r="C563" s="277">
        <f t="shared" ref="C563:C586" si="27">B563-A563</f>
        <v>1.0416666671517305E-2</v>
      </c>
      <c r="D563" s="278">
        <v>2.0833333333333332E-2</v>
      </c>
      <c r="E563" s="329" t="s">
        <v>8</v>
      </c>
      <c r="F563" s="330"/>
      <c r="G563" s="330"/>
      <c r="H563" s="330"/>
      <c r="I563" s="330"/>
      <c r="J563" s="330"/>
      <c r="K563" s="330"/>
      <c r="L563" s="330"/>
      <c r="M563" s="330"/>
      <c r="N563" s="330"/>
      <c r="O563" s="330"/>
      <c r="P563" s="330"/>
      <c r="Q563" s="330"/>
      <c r="R563" s="330"/>
      <c r="S563" s="330"/>
      <c r="T563" s="330"/>
      <c r="U563" s="331"/>
      <c r="V563" s="247" t="e">
        <f>VLOOKUP(E563,Лист4!A$2:G$395,7,FALSE)</f>
        <v>#N/A</v>
      </c>
      <c r="W563" s="247">
        <f>IF(ISNA(V563),VLOOKUP(E563,категория!A$42:C$74,3,),6.94+R563*8.333/VLOOKUP(V563,категория!A$42:C$74,2,))</f>
        <v>4.17</v>
      </c>
    </row>
    <row r="564" spans="1:23" ht="15.75">
      <c r="A564" s="277">
        <v>43853.364583333336</v>
      </c>
      <c r="B564" s="277">
        <v>43853.430555555555</v>
      </c>
      <c r="C564" s="277">
        <f t="shared" si="27"/>
        <v>6.5972222218988463E-2</v>
      </c>
      <c r="D564" s="278">
        <v>4.1666666666666664E-2</v>
      </c>
      <c r="E564" s="329" t="s">
        <v>523</v>
      </c>
      <c r="F564" s="330"/>
      <c r="G564" s="330"/>
      <c r="H564" s="330"/>
      <c r="I564" s="330"/>
      <c r="J564" s="330"/>
      <c r="K564" s="330"/>
      <c r="L564" s="330"/>
      <c r="M564" s="330"/>
      <c r="N564" s="330"/>
      <c r="O564" s="330"/>
      <c r="P564" s="330"/>
      <c r="Q564" s="330"/>
      <c r="R564" s="330"/>
      <c r="S564" s="330"/>
      <c r="T564" s="330"/>
      <c r="U564" s="331"/>
      <c r="V564" s="247" t="e">
        <f>VLOOKUP(E564,Лист4!A$2:G$395,7,FALSE)</f>
        <v>#N/A</v>
      </c>
      <c r="W564" s="247">
        <f>8.33*1.5</f>
        <v>12.495000000000001</v>
      </c>
    </row>
    <row r="565" spans="1:23" ht="15.75">
      <c r="A565" s="277">
        <v>43853.430555555555</v>
      </c>
      <c r="B565" s="277">
        <v>43853.458333333336</v>
      </c>
      <c r="C565" s="277">
        <f t="shared" si="27"/>
        <v>2.7777777781011537E-2</v>
      </c>
      <c r="D565" s="278">
        <v>2.7777777777777776E-2</v>
      </c>
      <c r="E565" s="329" t="s">
        <v>29</v>
      </c>
      <c r="F565" s="330"/>
      <c r="G565" s="330"/>
      <c r="H565" s="330"/>
      <c r="I565" s="330"/>
      <c r="J565" s="330"/>
      <c r="K565" s="330"/>
      <c r="L565" s="330"/>
      <c r="M565" s="330"/>
      <c r="N565" s="330"/>
      <c r="O565" s="330"/>
      <c r="P565" s="330"/>
      <c r="Q565" s="330"/>
      <c r="R565" s="330"/>
      <c r="S565" s="330"/>
      <c r="T565" s="330"/>
      <c r="U565" s="331"/>
      <c r="V565" s="247" t="e">
        <f>VLOOKUP(E565,Лист4!A$2:G$395,7,FALSE)</f>
        <v>#N/A</v>
      </c>
      <c r="W565" s="247">
        <f>IF(ISNA(V565),VLOOKUP(E565,категория!A$42:C$74,3,),6.94+R565*8.333/VLOOKUP(V565,категория!A$42:C$74,2,))</f>
        <v>5.55</v>
      </c>
    </row>
    <row r="566" spans="1:23" ht="15.75">
      <c r="A566" s="277">
        <v>43853.458333333336</v>
      </c>
      <c r="B566" s="277">
        <v>43853.5</v>
      </c>
      <c r="C566" s="277">
        <f t="shared" si="27"/>
        <v>4.1666666664241347E-2</v>
      </c>
      <c r="D566" s="278">
        <v>2.4305555555555556E-2</v>
      </c>
      <c r="E566" s="329" t="s">
        <v>171</v>
      </c>
      <c r="F566" s="330"/>
      <c r="G566" s="330"/>
      <c r="H566" s="330"/>
      <c r="I566" s="330"/>
      <c r="J566" s="330"/>
      <c r="K566" s="330"/>
      <c r="L566" s="330"/>
      <c r="M566" s="330"/>
      <c r="N566" s="330"/>
      <c r="O566" s="330"/>
      <c r="P566" s="330"/>
      <c r="Q566" s="330"/>
      <c r="R566" s="330"/>
      <c r="S566" s="330"/>
      <c r="T566" s="330"/>
      <c r="U566" s="331"/>
      <c r="V566" s="247" t="e">
        <f>VLOOKUP(E566,Лист4!A$2:G$395,7,FALSE)</f>
        <v>#N/A</v>
      </c>
      <c r="W566" s="247">
        <f>IF(ISNA(V566),VLOOKUP(E566,категория!A$42:C$74,3,),6.94+R566*8.333/VLOOKUP(V566,категория!A$42:C$74,2,))</f>
        <v>5.55</v>
      </c>
    </row>
    <row r="567" spans="1:23" ht="15.75">
      <c r="A567" s="277">
        <v>43853.5</v>
      </c>
      <c r="B567" s="277">
        <v>43853.520833333336</v>
      </c>
      <c r="C567" s="277">
        <f t="shared" si="27"/>
        <v>2.0833333335758653E-2</v>
      </c>
      <c r="D567" s="278">
        <v>3.472222222222222E-3</v>
      </c>
      <c r="E567" s="329" t="s">
        <v>24</v>
      </c>
      <c r="F567" s="330"/>
      <c r="G567" s="330"/>
      <c r="H567" s="330"/>
      <c r="I567" s="330"/>
      <c r="J567" s="330"/>
      <c r="K567" s="330"/>
      <c r="L567" s="330"/>
      <c r="M567" s="330"/>
      <c r="N567" s="330"/>
      <c r="O567" s="330"/>
      <c r="P567" s="330"/>
      <c r="Q567" s="330"/>
      <c r="R567" s="330"/>
      <c r="S567" s="330"/>
      <c r="T567" s="330"/>
      <c r="U567" s="331"/>
      <c r="V567" s="247" t="e">
        <f>VLOOKUP(E567,Лист4!A$2:G$395,7,FALSE)</f>
        <v>#N/A</v>
      </c>
      <c r="W567" s="247">
        <f>IF(ISNA(V567),VLOOKUP(E567,категория!A$42:C$74,3,),6.94+R567*8.333/VLOOKUP(V567,категория!A$42:C$74,2,))</f>
        <v>3.47</v>
      </c>
    </row>
    <row r="568" spans="1:23" ht="15.75">
      <c r="A568" s="277">
        <v>43853.520833333336</v>
      </c>
      <c r="B568" s="277">
        <v>43853.534722222219</v>
      </c>
      <c r="C568" s="277">
        <f t="shared" si="27"/>
        <v>1.3888888883229811E-2</v>
      </c>
      <c r="D568" s="278">
        <v>3.472222222222222E-3</v>
      </c>
      <c r="E568" s="329" t="s">
        <v>26</v>
      </c>
      <c r="F568" s="330"/>
      <c r="G568" s="330"/>
      <c r="H568" s="330"/>
      <c r="I568" s="330"/>
      <c r="J568" s="330"/>
      <c r="K568" s="330"/>
      <c r="L568" s="330"/>
      <c r="M568" s="330"/>
      <c r="N568" s="330"/>
      <c r="O568" s="330"/>
      <c r="P568" s="330"/>
      <c r="Q568" s="330"/>
      <c r="R568" s="330"/>
      <c r="S568" s="330"/>
      <c r="T568" s="330"/>
      <c r="U568" s="331"/>
      <c r="V568" s="247" t="e">
        <f>VLOOKUP(E568,Лист4!A$2:G$395,7,FALSE)</f>
        <v>#N/A</v>
      </c>
      <c r="W568" s="247">
        <f>IF(ISNA(V568),VLOOKUP(E568,категория!A$42:C$74,3,),6.94+R568*8.333/VLOOKUP(V568,категория!A$42:C$74,2,))</f>
        <v>6.94</v>
      </c>
    </row>
    <row r="569" spans="1:23" ht="15.75">
      <c r="A569" s="277">
        <v>43853.534722222219</v>
      </c>
      <c r="B569" s="277">
        <v>43853.541666666664</v>
      </c>
      <c r="C569" s="277">
        <f t="shared" si="27"/>
        <v>6.9444444452528842E-3</v>
      </c>
      <c r="D569" s="278">
        <v>3.472222222222222E-3</v>
      </c>
      <c r="E569" s="329" t="s">
        <v>327</v>
      </c>
      <c r="F569" s="330"/>
      <c r="G569" s="330"/>
      <c r="H569" s="330"/>
      <c r="I569" s="330"/>
      <c r="J569" s="330"/>
      <c r="K569" s="330"/>
      <c r="L569" s="330"/>
      <c r="M569" s="330"/>
      <c r="N569" s="330"/>
      <c r="O569" s="330"/>
      <c r="P569" s="330"/>
      <c r="Q569" s="330"/>
      <c r="R569" s="330"/>
      <c r="S569" s="330"/>
      <c r="T569" s="330"/>
      <c r="U569" s="331"/>
      <c r="V569" s="247" t="e">
        <f>VLOOKUP(E569,Лист4!A$2:G$395,7,FALSE)</f>
        <v>#N/A</v>
      </c>
      <c r="W569" s="247">
        <f>8.333*0.16</f>
        <v>1.33328</v>
      </c>
    </row>
    <row r="570" spans="1:23" ht="48">
      <c r="A570" s="277">
        <v>43853.541666666664</v>
      </c>
      <c r="B570" s="277">
        <v>43853.5625</v>
      </c>
      <c r="C570" s="277">
        <f t="shared" si="27"/>
        <v>2.0833333335758653E-2</v>
      </c>
      <c r="D570" s="278">
        <v>2.0833333333333332E-2</v>
      </c>
      <c r="E570" s="279">
        <v>168</v>
      </c>
      <c r="F570" s="280" t="s">
        <v>440</v>
      </c>
      <c r="G570" s="280" t="s">
        <v>524</v>
      </c>
      <c r="H570" s="281" t="s">
        <v>258</v>
      </c>
      <c r="I570" s="282">
        <v>43854</v>
      </c>
      <c r="J570" s="283"/>
      <c r="K570" s="279" t="s">
        <v>227</v>
      </c>
      <c r="L570" s="284"/>
      <c r="M570" s="285" t="s">
        <v>276</v>
      </c>
      <c r="N570" s="280" t="s">
        <v>35</v>
      </c>
      <c r="O570" s="279">
        <v>250</v>
      </c>
      <c r="P570" s="279" t="s">
        <v>236</v>
      </c>
      <c r="Q570" s="286" t="s">
        <v>229</v>
      </c>
      <c r="R570" s="287">
        <v>2500</v>
      </c>
      <c r="S570" s="287">
        <v>2745</v>
      </c>
      <c r="T570" s="283" t="s">
        <v>232</v>
      </c>
      <c r="U570" s="287" t="s">
        <v>77</v>
      </c>
      <c r="V570" s="247" t="s">
        <v>286</v>
      </c>
      <c r="W570" s="247">
        <f>IF(ISNA(V570),VLOOKUP(E570,категория!A$42:C$74,3,),6.94+R570*8.333/VLOOKUP(V570,категория!A$42:C$74,2,))</f>
        <v>13.252878787878789</v>
      </c>
    </row>
    <row r="571" spans="1:23" ht="15.75">
      <c r="A571" s="277">
        <v>43853.5625</v>
      </c>
      <c r="B571" s="277">
        <v>43853.569444444445</v>
      </c>
      <c r="C571" s="277">
        <f t="shared" si="27"/>
        <v>6.9444444452528842E-3</v>
      </c>
      <c r="D571" s="278">
        <v>1.0416666666666666E-2</v>
      </c>
      <c r="E571" s="329" t="s">
        <v>170</v>
      </c>
      <c r="F571" s="330"/>
      <c r="G571" s="330"/>
      <c r="H571" s="330"/>
      <c r="I571" s="330"/>
      <c r="J571" s="330"/>
      <c r="K571" s="330"/>
      <c r="L571" s="330"/>
      <c r="M571" s="330"/>
      <c r="N571" s="330"/>
      <c r="O571" s="330"/>
      <c r="P571" s="330"/>
      <c r="Q571" s="330"/>
      <c r="R571" s="330"/>
      <c r="S571" s="330"/>
      <c r="T571" s="330"/>
      <c r="U571" s="331"/>
      <c r="V571" s="247" t="e">
        <f>VLOOKUP(E571,Лист4!A$2:G$395,7,FALSE)</f>
        <v>#N/A</v>
      </c>
      <c r="W571" s="247">
        <f>IF(ISNA(V571),VLOOKUP(E571,категория!A$42:C$74,3,),6.94+R571*8.333/VLOOKUP(V571,категория!A$42:C$74,2,))</f>
        <v>2.085</v>
      </c>
    </row>
    <row r="572" spans="1:23" ht="15.75">
      <c r="A572" s="277">
        <v>43853.569444444445</v>
      </c>
      <c r="B572" s="277">
        <v>43853.576388888891</v>
      </c>
      <c r="C572" s="277">
        <f t="shared" si="27"/>
        <v>6.9444444452528842E-3</v>
      </c>
      <c r="D572" s="278">
        <v>3.472222222222222E-3</v>
      </c>
      <c r="E572" s="329" t="s">
        <v>327</v>
      </c>
      <c r="F572" s="330"/>
      <c r="G572" s="330"/>
      <c r="H572" s="330"/>
      <c r="I572" s="330"/>
      <c r="J572" s="330"/>
      <c r="K572" s="330"/>
      <c r="L572" s="330"/>
      <c r="M572" s="330"/>
      <c r="N572" s="330"/>
      <c r="O572" s="330"/>
      <c r="P572" s="330"/>
      <c r="Q572" s="330"/>
      <c r="R572" s="330"/>
      <c r="S572" s="330"/>
      <c r="T572" s="330"/>
      <c r="U572" s="331"/>
      <c r="V572" s="247" t="e">
        <f>VLOOKUP(E572,Лист4!A$2:G$395,7,FALSE)</f>
        <v>#N/A</v>
      </c>
      <c r="W572" s="247">
        <f>8.33*0.166</f>
        <v>1.3827800000000001</v>
      </c>
    </row>
    <row r="573" spans="1:23" ht="48">
      <c r="A573" s="277">
        <v>43853.576388888891</v>
      </c>
      <c r="B573" s="277">
        <v>43853.597222222219</v>
      </c>
      <c r="C573" s="277">
        <f t="shared" si="27"/>
        <v>2.0833333328482695E-2</v>
      </c>
      <c r="D573" s="278">
        <v>2.0833333333333332E-2</v>
      </c>
      <c r="E573" s="279">
        <v>168</v>
      </c>
      <c r="F573" s="280" t="s">
        <v>440</v>
      </c>
      <c r="G573" s="280" t="s">
        <v>524</v>
      </c>
      <c r="H573" s="281" t="s">
        <v>259</v>
      </c>
      <c r="I573" s="282">
        <v>43854</v>
      </c>
      <c r="J573" s="283"/>
      <c r="K573" s="279" t="s">
        <v>227</v>
      </c>
      <c r="L573" s="284"/>
      <c r="M573" s="285" t="s">
        <v>276</v>
      </c>
      <c r="N573" s="280" t="s">
        <v>35</v>
      </c>
      <c r="O573" s="279">
        <v>250</v>
      </c>
      <c r="P573" s="279" t="s">
        <v>236</v>
      </c>
      <c r="Q573" s="286" t="s">
        <v>229</v>
      </c>
      <c r="R573" s="287">
        <v>2500</v>
      </c>
      <c r="S573" s="287">
        <v>2745</v>
      </c>
      <c r="T573" s="283" t="s">
        <v>232</v>
      </c>
      <c r="U573" s="287" t="s">
        <v>77</v>
      </c>
      <c r="V573" s="247" t="s">
        <v>286</v>
      </c>
      <c r="W573" s="247">
        <f>IF(ISNA(V573),VLOOKUP(E573,категория!A$42:C$74,3,),R573*8.333/VLOOKUP(V573,категория!A$42:C$74,2,))</f>
        <v>6.3128787878787875</v>
      </c>
    </row>
    <row r="574" spans="1:23" ht="15.75">
      <c r="A574" s="277">
        <v>43853.597222222219</v>
      </c>
      <c r="B574" s="277">
        <v>43853.604166666664</v>
      </c>
      <c r="C574" s="277">
        <f t="shared" si="27"/>
        <v>6.9444444452528842E-3</v>
      </c>
      <c r="D574" s="278">
        <v>1.0416666666666666E-2</v>
      </c>
      <c r="E574" s="329" t="s">
        <v>170</v>
      </c>
      <c r="F574" s="330"/>
      <c r="G574" s="330"/>
      <c r="H574" s="330"/>
      <c r="I574" s="330"/>
      <c r="J574" s="330"/>
      <c r="K574" s="330"/>
      <c r="L574" s="330"/>
      <c r="M574" s="330"/>
      <c r="N574" s="330"/>
      <c r="O574" s="330"/>
      <c r="P574" s="330"/>
      <c r="Q574" s="330"/>
      <c r="R574" s="330"/>
      <c r="S574" s="330"/>
      <c r="T574" s="330"/>
      <c r="U574" s="331"/>
      <c r="V574" s="247" t="e">
        <f>VLOOKUP(E574,Лист4!A$2:G$395,7,FALSE)</f>
        <v>#N/A</v>
      </c>
      <c r="W574" s="247">
        <f>IF(ISNA(V574),VLOOKUP(E574,категория!A$42:C$74,3,),6.94+R574*8.333/VLOOKUP(V574,категория!A$42:C$74,2,))</f>
        <v>2.085</v>
      </c>
    </row>
    <row r="575" spans="1:23" ht="15.75">
      <c r="A575" s="277">
        <v>43853.604166666664</v>
      </c>
      <c r="B575" s="277">
        <v>43853.611111111109</v>
      </c>
      <c r="C575" s="277">
        <f t="shared" si="27"/>
        <v>6.9444444452528842E-3</v>
      </c>
      <c r="D575" s="278">
        <v>3.472222222222222E-3</v>
      </c>
      <c r="E575" s="329" t="s">
        <v>327</v>
      </c>
      <c r="F575" s="330"/>
      <c r="G575" s="330"/>
      <c r="H575" s="330"/>
      <c r="I575" s="330"/>
      <c r="J575" s="330"/>
      <c r="K575" s="330"/>
      <c r="L575" s="330"/>
      <c r="M575" s="330"/>
      <c r="N575" s="330"/>
      <c r="O575" s="330"/>
      <c r="P575" s="330"/>
      <c r="Q575" s="330"/>
      <c r="R575" s="330"/>
      <c r="S575" s="330"/>
      <c r="T575" s="330"/>
      <c r="U575" s="331"/>
      <c r="V575" s="247" t="e">
        <f>VLOOKUP(E575,Лист4!A$2:G$395,7,FALSE)</f>
        <v>#N/A</v>
      </c>
      <c r="W575" s="247">
        <f>0.166*8.333</f>
        <v>1.383278</v>
      </c>
    </row>
    <row r="576" spans="1:23" ht="48">
      <c r="A576" s="277">
        <v>43853.611111111109</v>
      </c>
      <c r="B576" s="277">
        <v>43853.631944444445</v>
      </c>
      <c r="C576" s="277">
        <f t="shared" si="27"/>
        <v>2.0833333335758653E-2</v>
      </c>
      <c r="D576" s="278">
        <v>2.0833333333333332E-2</v>
      </c>
      <c r="E576" s="279">
        <v>168</v>
      </c>
      <c r="F576" s="280" t="s">
        <v>440</v>
      </c>
      <c r="G576" s="280" t="s">
        <v>524</v>
      </c>
      <c r="H576" s="281" t="s">
        <v>260</v>
      </c>
      <c r="I576" s="282">
        <v>43854</v>
      </c>
      <c r="J576" s="283"/>
      <c r="K576" s="279" t="s">
        <v>227</v>
      </c>
      <c r="L576" s="284"/>
      <c r="M576" s="285" t="s">
        <v>276</v>
      </c>
      <c r="N576" s="280" t="s">
        <v>35</v>
      </c>
      <c r="O576" s="279">
        <v>250</v>
      </c>
      <c r="P576" s="279" t="s">
        <v>236</v>
      </c>
      <c r="Q576" s="286" t="s">
        <v>229</v>
      </c>
      <c r="R576" s="287">
        <v>2500</v>
      </c>
      <c r="S576" s="287">
        <v>2745</v>
      </c>
      <c r="T576" s="283" t="s">
        <v>232</v>
      </c>
      <c r="U576" s="287" t="s">
        <v>77</v>
      </c>
      <c r="V576" s="247" t="s">
        <v>286</v>
      </c>
      <c r="W576" s="247">
        <f>IF(ISNA(V576),VLOOKUP(E576,категория!A$42:C$74,3,),R576*8.333/VLOOKUP(V576,категория!A$42:C$74,2,))</f>
        <v>6.3128787878787875</v>
      </c>
    </row>
    <row r="577" spans="1:23" ht="15.75">
      <c r="A577" s="277">
        <v>43853.631944444445</v>
      </c>
      <c r="B577" s="277">
        <v>43853.638888888891</v>
      </c>
      <c r="C577" s="277">
        <f t="shared" si="27"/>
        <v>6.9444444452528842E-3</v>
      </c>
      <c r="D577" s="278">
        <v>6.9444444444444441E-3</v>
      </c>
      <c r="E577" s="329" t="s">
        <v>170</v>
      </c>
      <c r="F577" s="330"/>
      <c r="G577" s="330"/>
      <c r="H577" s="330"/>
      <c r="I577" s="330"/>
      <c r="J577" s="330"/>
      <c r="K577" s="330"/>
      <c r="L577" s="330"/>
      <c r="M577" s="330"/>
      <c r="N577" s="330"/>
      <c r="O577" s="330"/>
      <c r="P577" s="330"/>
      <c r="Q577" s="330"/>
      <c r="R577" s="330"/>
      <c r="S577" s="330"/>
      <c r="T577" s="330"/>
      <c r="U577" s="331"/>
      <c r="V577" s="247" t="e">
        <f>VLOOKUP(E577,Лист4!A$2:G$395,7,FALSE)</f>
        <v>#N/A</v>
      </c>
      <c r="W577" s="247">
        <f>IF(ISNA(V577),VLOOKUP(E577,категория!A$42:C$74,3,),6.94+R577*8.333/VLOOKUP(V577,категория!A$42:C$74,2,))</f>
        <v>2.085</v>
      </c>
    </row>
    <row r="578" spans="1:23" ht="15.75">
      <c r="A578" s="277">
        <v>43853.638888888891</v>
      </c>
      <c r="B578" s="277">
        <v>43853.645833333336</v>
      </c>
      <c r="C578" s="277">
        <f t="shared" si="27"/>
        <v>6.9444444452528842E-3</v>
      </c>
      <c r="D578" s="278">
        <v>3.472222222222222E-3</v>
      </c>
      <c r="E578" s="329" t="s">
        <v>327</v>
      </c>
      <c r="F578" s="330"/>
      <c r="G578" s="330"/>
      <c r="H578" s="330"/>
      <c r="I578" s="330"/>
      <c r="J578" s="330"/>
      <c r="K578" s="330"/>
      <c r="L578" s="330"/>
      <c r="M578" s="330"/>
      <c r="N578" s="330"/>
      <c r="O578" s="330"/>
      <c r="P578" s="330"/>
      <c r="Q578" s="330"/>
      <c r="R578" s="330"/>
      <c r="S578" s="330"/>
      <c r="T578" s="330"/>
      <c r="U578" s="331"/>
      <c r="V578" s="247" t="e">
        <f>VLOOKUP(E578,Лист4!A$2:G$395,7,FALSE)</f>
        <v>#N/A</v>
      </c>
      <c r="W578" s="247">
        <f>0.16*8.333</f>
        <v>1.33328</v>
      </c>
    </row>
    <row r="579" spans="1:23" ht="48">
      <c r="A579" s="277">
        <v>43853.645833333336</v>
      </c>
      <c r="B579" s="277">
        <v>43853.666666666664</v>
      </c>
      <c r="C579" s="277">
        <f t="shared" si="27"/>
        <v>2.0833333328482695E-2</v>
      </c>
      <c r="D579" s="278">
        <v>2.0833333333333332E-2</v>
      </c>
      <c r="E579" s="279">
        <v>168</v>
      </c>
      <c r="F579" s="280" t="s">
        <v>440</v>
      </c>
      <c r="G579" s="280" t="s">
        <v>524</v>
      </c>
      <c r="H579" s="281" t="s">
        <v>261</v>
      </c>
      <c r="I579" s="282">
        <v>43854</v>
      </c>
      <c r="J579" s="283"/>
      <c r="K579" s="279" t="s">
        <v>227</v>
      </c>
      <c r="L579" s="284"/>
      <c r="M579" s="285" t="s">
        <v>276</v>
      </c>
      <c r="N579" s="280" t="s">
        <v>35</v>
      </c>
      <c r="O579" s="279">
        <v>250</v>
      </c>
      <c r="P579" s="279" t="s">
        <v>236</v>
      </c>
      <c r="Q579" s="286" t="s">
        <v>229</v>
      </c>
      <c r="R579" s="287">
        <v>3000</v>
      </c>
      <c r="S579" s="287">
        <v>2745</v>
      </c>
      <c r="T579" s="283" t="s">
        <v>232</v>
      </c>
      <c r="U579" s="287" t="s">
        <v>77</v>
      </c>
      <c r="V579" s="247" t="s">
        <v>286</v>
      </c>
      <c r="W579" s="247">
        <f>IF(ISNA(V579),VLOOKUP(E579,категория!A$42:C$74,3,),R579*8.333/VLOOKUP(V579,категория!A$42:C$74,2,))</f>
        <v>7.5754545454545452</v>
      </c>
    </row>
    <row r="580" spans="1:23" ht="15.75">
      <c r="A580" s="277">
        <v>43853.666666666664</v>
      </c>
      <c r="B580" s="277">
        <v>43853.673611111109</v>
      </c>
      <c r="C580" s="277">
        <f t="shared" si="27"/>
        <v>6.9444444452528842E-3</v>
      </c>
      <c r="D580" s="278">
        <v>1.0416666666666666E-2</v>
      </c>
      <c r="E580" s="329" t="s">
        <v>170</v>
      </c>
      <c r="F580" s="330"/>
      <c r="G580" s="330"/>
      <c r="H580" s="330"/>
      <c r="I580" s="330"/>
      <c r="J580" s="330"/>
      <c r="K580" s="330"/>
      <c r="L580" s="330"/>
      <c r="M580" s="330"/>
      <c r="N580" s="330"/>
      <c r="O580" s="330"/>
      <c r="P580" s="330"/>
      <c r="Q580" s="330"/>
      <c r="R580" s="330"/>
      <c r="S580" s="330"/>
      <c r="T580" s="330"/>
      <c r="U580" s="331"/>
      <c r="V580" s="247" t="e">
        <f>VLOOKUP(E580,Лист4!A$2:G$395,7,FALSE)</f>
        <v>#N/A</v>
      </c>
      <c r="W580" s="247">
        <f>IF(ISNA(V580),VLOOKUP(E580,категория!A$42:C$74,3,),6.94+R580*8.333/VLOOKUP(V580,категория!A$42:C$74,2,))</f>
        <v>2.085</v>
      </c>
    </row>
    <row r="581" spans="1:23" ht="15.75">
      <c r="A581" s="277">
        <v>43853.673611111109</v>
      </c>
      <c r="B581" s="277">
        <v>43853.75</v>
      </c>
      <c r="C581" s="277">
        <f t="shared" si="27"/>
        <v>7.6388888890505768E-2</v>
      </c>
      <c r="D581" s="278">
        <v>4.1666666666666664E-2</v>
      </c>
      <c r="E581" s="329" t="s">
        <v>525</v>
      </c>
      <c r="F581" s="330"/>
      <c r="G581" s="330"/>
      <c r="H581" s="330"/>
      <c r="I581" s="330"/>
      <c r="J581" s="330"/>
      <c r="K581" s="330"/>
      <c r="L581" s="330"/>
      <c r="M581" s="330"/>
      <c r="N581" s="330"/>
      <c r="O581" s="330"/>
      <c r="P581" s="330"/>
      <c r="Q581" s="330"/>
      <c r="R581" s="330"/>
      <c r="S581" s="330"/>
      <c r="T581" s="330"/>
      <c r="U581" s="331"/>
      <c r="V581" s="247" t="e">
        <f>VLOOKUP(E581,Лист4!A$2:G$395,7,FALSE)</f>
        <v>#N/A</v>
      </c>
      <c r="W581" s="247">
        <f>8.333*1.86</f>
        <v>15.49938</v>
      </c>
    </row>
    <row r="582" spans="1:23" ht="15.75">
      <c r="A582" s="277">
        <v>43853.75</v>
      </c>
      <c r="B582" s="277">
        <v>43853.763888888891</v>
      </c>
      <c r="C582" s="277">
        <f t="shared" si="27"/>
        <v>1.3888888890505768E-2</v>
      </c>
      <c r="D582" s="278">
        <v>3.472222222222222E-3</v>
      </c>
      <c r="E582" s="329" t="s">
        <v>24</v>
      </c>
      <c r="F582" s="330"/>
      <c r="G582" s="330"/>
      <c r="H582" s="330"/>
      <c r="I582" s="330"/>
      <c r="J582" s="330"/>
      <c r="K582" s="330"/>
      <c r="L582" s="330"/>
      <c r="M582" s="330"/>
      <c r="N582" s="330"/>
      <c r="O582" s="330"/>
      <c r="P582" s="330"/>
      <c r="Q582" s="330"/>
      <c r="R582" s="330"/>
      <c r="S582" s="330"/>
      <c r="T582" s="330"/>
      <c r="U582" s="331"/>
      <c r="V582" s="247" t="e">
        <f>VLOOKUP(E582,Лист4!A$2:G$395,7,FALSE)</f>
        <v>#N/A</v>
      </c>
      <c r="W582" s="247">
        <f>IF(ISNA(V582),VLOOKUP(E582,категория!A$42:C$74,3,),6.94+R582*8.333/VLOOKUP(V582,категория!A$42:C$74,2,))</f>
        <v>3.47</v>
      </c>
    </row>
    <row r="583" spans="1:23" ht="15.75">
      <c r="A583" s="277">
        <v>43853.763888888891</v>
      </c>
      <c r="B583" s="277">
        <v>43853.784722222219</v>
      </c>
      <c r="C583" s="277">
        <f t="shared" si="27"/>
        <v>2.0833333328482695E-2</v>
      </c>
      <c r="D583" s="278">
        <v>3.472222222222222E-3</v>
      </c>
      <c r="E583" s="329" t="s">
        <v>26</v>
      </c>
      <c r="F583" s="330"/>
      <c r="G583" s="330"/>
      <c r="H583" s="330"/>
      <c r="I583" s="330"/>
      <c r="J583" s="330"/>
      <c r="K583" s="330"/>
      <c r="L583" s="330"/>
      <c r="M583" s="330"/>
      <c r="N583" s="330"/>
      <c r="O583" s="330"/>
      <c r="P583" s="330"/>
      <c r="Q583" s="330"/>
      <c r="R583" s="330"/>
      <c r="S583" s="330"/>
      <c r="T583" s="330"/>
      <c r="U583" s="331"/>
      <c r="V583" s="247" t="e">
        <f>VLOOKUP(E583,Лист4!A$2:G$395,7,FALSE)</f>
        <v>#N/A</v>
      </c>
      <c r="W583" s="247">
        <f>IF(ISNA(V583),VLOOKUP(E583,категория!A$42:C$74,3,),6.94+R583*8.333/VLOOKUP(V583,категория!A$42:C$74,2,))</f>
        <v>6.94</v>
      </c>
    </row>
    <row r="584" spans="1:23" ht="60">
      <c r="A584" s="277">
        <v>43853.784722222219</v>
      </c>
      <c r="B584" s="277">
        <v>43853.805555555555</v>
      </c>
      <c r="C584" s="277">
        <f t="shared" si="27"/>
        <v>2.0833333335758653E-2</v>
      </c>
      <c r="D584" s="278">
        <v>2.0833333333333332E-2</v>
      </c>
      <c r="E584" s="279">
        <v>169</v>
      </c>
      <c r="F584" s="280" t="s">
        <v>440</v>
      </c>
      <c r="G584" s="280" t="s">
        <v>526</v>
      </c>
      <c r="H584" s="281" t="s">
        <v>258</v>
      </c>
      <c r="I584" s="282">
        <v>43854</v>
      </c>
      <c r="J584" s="283"/>
      <c r="K584" s="279" t="s">
        <v>227</v>
      </c>
      <c r="L584" s="284"/>
      <c r="M584" s="285" t="s">
        <v>276</v>
      </c>
      <c r="N584" s="280" t="s">
        <v>35</v>
      </c>
      <c r="O584" s="279">
        <v>250</v>
      </c>
      <c r="P584" s="279" t="s">
        <v>236</v>
      </c>
      <c r="Q584" s="286" t="s">
        <v>229</v>
      </c>
      <c r="R584" s="287">
        <v>2500</v>
      </c>
      <c r="S584" s="287">
        <v>1781</v>
      </c>
      <c r="T584" s="283" t="s">
        <v>232</v>
      </c>
      <c r="U584" s="287" t="s">
        <v>77</v>
      </c>
      <c r="V584" s="247" t="s">
        <v>286</v>
      </c>
      <c r="W584" s="247">
        <f>IF(ISNA(V584),VLOOKUP(E584,категория!A$42:C$74,3,),6.94+R584*8.333/VLOOKUP(V584,категория!A$42:C$74,2,))</f>
        <v>13.252878787878789</v>
      </c>
    </row>
    <row r="585" spans="1:23" ht="15.75">
      <c r="A585" s="277">
        <v>43853.805555555555</v>
      </c>
      <c r="B585" s="277">
        <v>43853.8125</v>
      </c>
      <c r="C585" s="277">
        <f t="shared" si="27"/>
        <v>6.9444444452528842E-3</v>
      </c>
      <c r="D585" s="278">
        <v>1.0416666666666666E-2</v>
      </c>
      <c r="E585" s="329" t="s">
        <v>170</v>
      </c>
      <c r="F585" s="330"/>
      <c r="G585" s="330"/>
      <c r="H585" s="330"/>
      <c r="I585" s="330"/>
      <c r="J585" s="330"/>
      <c r="K585" s="330"/>
      <c r="L585" s="330"/>
      <c r="M585" s="330"/>
      <c r="N585" s="330"/>
      <c r="O585" s="330"/>
      <c r="P585" s="330"/>
      <c r="Q585" s="330"/>
      <c r="R585" s="330"/>
      <c r="S585" s="330"/>
      <c r="T585" s="330"/>
      <c r="U585" s="331"/>
      <c r="V585" s="247" t="e">
        <f>VLOOKUP(E585,Лист4!A$2:G$395,7,FALSE)</f>
        <v>#N/A</v>
      </c>
      <c r="W585" s="247">
        <f>IF(ISNA(V585),VLOOKUP(E585,категория!A$42:C$74,3,),6.94+R585*8.333/VLOOKUP(V585,категория!A$42:C$74,2,))</f>
        <v>2.085</v>
      </c>
    </row>
    <row r="586" spans="1:23" ht="15.75">
      <c r="A586" s="277">
        <v>43853.8125</v>
      </c>
      <c r="B586" s="277">
        <v>43853.833333333336</v>
      </c>
      <c r="C586" s="277">
        <f t="shared" si="27"/>
        <v>2.0833333335758653E-2</v>
      </c>
      <c r="D586" s="278">
        <v>2.0833333333333332E-2</v>
      </c>
      <c r="E586" s="329" t="s">
        <v>22</v>
      </c>
      <c r="F586" s="330"/>
      <c r="G586" s="330"/>
      <c r="H586" s="330"/>
      <c r="I586" s="330"/>
      <c r="J586" s="330"/>
      <c r="K586" s="330"/>
      <c r="L586" s="330"/>
      <c r="M586" s="330"/>
      <c r="N586" s="330"/>
      <c r="O586" s="330"/>
      <c r="P586" s="330"/>
      <c r="Q586" s="330"/>
      <c r="R586" s="330"/>
      <c r="S586" s="330"/>
      <c r="T586" s="330"/>
      <c r="U586" s="331"/>
      <c r="V586" s="247" t="e">
        <f>VLOOKUP(E586,Лист4!A$2:G$395,7,FALSE)</f>
        <v>#N/A</v>
      </c>
      <c r="W586" s="247">
        <f>IF(ISNA(V586),VLOOKUP(E586,категория!A$42:C$74,3,),6.94+R586*8.333/VLOOKUP(V586,категория!A$42:C$74,2,))</f>
        <v>4.17</v>
      </c>
    </row>
    <row r="587" spans="1:23" ht="15.75">
      <c r="A587" s="288">
        <v>43853.833333333336</v>
      </c>
      <c r="B587" s="332" t="s">
        <v>527</v>
      </c>
      <c r="C587" s="333"/>
      <c r="D587" s="334"/>
      <c r="E587" s="334"/>
      <c r="F587" s="334"/>
      <c r="G587" s="334"/>
      <c r="H587" s="334"/>
      <c r="I587" s="334"/>
      <c r="J587" s="334"/>
      <c r="K587" s="334"/>
      <c r="L587" s="334"/>
      <c r="M587" s="334"/>
      <c r="N587" s="334"/>
      <c r="O587" s="334"/>
      <c r="P587" s="334"/>
      <c r="Q587" s="334"/>
      <c r="R587" s="334"/>
      <c r="S587" s="334"/>
      <c r="T587" s="334"/>
      <c r="U587" s="335"/>
      <c r="V587" s="247" t="e">
        <f>VLOOKUP(E587,Лист4!A$2:G$395,7,FALSE)</f>
        <v>#N/A</v>
      </c>
      <c r="W587" s="52">
        <f>SUM(W562:W586)</f>
        <v>134.98896769696969</v>
      </c>
    </row>
    <row r="588" spans="1:23" ht="15.75">
      <c r="A588" s="277">
        <v>43853.833333333336</v>
      </c>
      <c r="B588" s="277">
        <v>43853.854166666664</v>
      </c>
      <c r="C588" s="277">
        <f>B588-A588</f>
        <v>2.0833333328482695E-2</v>
      </c>
      <c r="D588" s="278">
        <v>2.0833333333333332E-2</v>
      </c>
      <c r="E588" s="329" t="s">
        <v>22</v>
      </c>
      <c r="F588" s="330"/>
      <c r="G588" s="330"/>
      <c r="H588" s="330"/>
      <c r="I588" s="330"/>
      <c r="J588" s="330"/>
      <c r="K588" s="330"/>
      <c r="L588" s="330"/>
      <c r="M588" s="330"/>
      <c r="N588" s="330"/>
      <c r="O588" s="330"/>
      <c r="P588" s="330"/>
      <c r="Q588" s="330"/>
      <c r="R588" s="330"/>
      <c r="S588" s="330"/>
      <c r="T588" s="330"/>
      <c r="U588" s="331"/>
      <c r="V588" s="247" t="e">
        <f>VLOOKUP(E588,Лист4!A$2:G$395,7,FALSE)</f>
        <v>#N/A</v>
      </c>
      <c r="W588" s="247">
        <f>IF(ISNA(V588),VLOOKUP(E588,категория!A$42:C$74,3,),6.94+R588*8.333/VLOOKUP(V588,категория!A$42:C$74,2,))</f>
        <v>4.17</v>
      </c>
    </row>
    <row r="589" spans="1:23" ht="15.75">
      <c r="A589" s="277">
        <v>43853.854166666664</v>
      </c>
      <c r="B589" s="277">
        <v>43853.868055555555</v>
      </c>
      <c r="C589" s="277">
        <f t="shared" ref="C589:C604" si="28">B589-A589</f>
        <v>1.3888888890505768E-2</v>
      </c>
      <c r="D589" s="278">
        <v>3.472222222222222E-3</v>
      </c>
      <c r="E589" s="329" t="s">
        <v>327</v>
      </c>
      <c r="F589" s="330"/>
      <c r="G589" s="330"/>
      <c r="H589" s="330"/>
      <c r="I589" s="330"/>
      <c r="J589" s="330"/>
      <c r="K589" s="330"/>
      <c r="L589" s="330"/>
      <c r="M589" s="330"/>
      <c r="N589" s="330"/>
      <c r="O589" s="330"/>
      <c r="P589" s="330"/>
      <c r="Q589" s="330"/>
      <c r="R589" s="330"/>
      <c r="S589" s="330"/>
      <c r="T589" s="330"/>
      <c r="U589" s="331"/>
      <c r="V589" s="247" t="e">
        <f>VLOOKUP(E589,Лист4!A$2:G$395,7,FALSE)</f>
        <v>#N/A</v>
      </c>
      <c r="W589" s="247">
        <f>8.333*0.333</f>
        <v>2.7748890000000004</v>
      </c>
    </row>
    <row r="590" spans="1:23" ht="60">
      <c r="A590" s="277">
        <v>43853.868055555555</v>
      </c>
      <c r="B590" s="277">
        <v>43853.909722222219</v>
      </c>
      <c r="C590" s="277">
        <f t="shared" si="28"/>
        <v>4.1666666664241347E-2</v>
      </c>
      <c r="D590" s="278">
        <v>4.1666666666666664E-2</v>
      </c>
      <c r="E590" s="279">
        <v>169</v>
      </c>
      <c r="F590" s="280" t="s">
        <v>440</v>
      </c>
      <c r="G590" s="280" t="s">
        <v>526</v>
      </c>
      <c r="H590" s="281" t="s">
        <v>259</v>
      </c>
      <c r="I590" s="282">
        <v>43854</v>
      </c>
      <c r="J590" s="283"/>
      <c r="K590" s="279" t="s">
        <v>227</v>
      </c>
      <c r="L590" s="284"/>
      <c r="M590" s="285" t="s">
        <v>276</v>
      </c>
      <c r="N590" s="280" t="s">
        <v>35</v>
      </c>
      <c r="O590" s="279">
        <v>250</v>
      </c>
      <c r="P590" s="279" t="s">
        <v>236</v>
      </c>
      <c r="Q590" s="286" t="s">
        <v>229</v>
      </c>
      <c r="R590" s="287">
        <v>2500</v>
      </c>
      <c r="S590" s="287">
        <v>3561</v>
      </c>
      <c r="T590" s="283" t="s">
        <v>232</v>
      </c>
      <c r="U590" s="287" t="s">
        <v>230</v>
      </c>
      <c r="V590" s="247" t="s">
        <v>286</v>
      </c>
      <c r="W590" s="247">
        <f>IF(ISNA(V590),VLOOKUP(E590,категория!A$42:C$74,3,),R590*8.333/VLOOKUP(V590,категория!A$42:C$74,2,))</f>
        <v>6.3128787878787875</v>
      </c>
    </row>
    <row r="591" spans="1:23" ht="15.75">
      <c r="A591" s="277">
        <v>43853.909722222219</v>
      </c>
      <c r="B591" s="277">
        <v>43853.916666666664</v>
      </c>
      <c r="C591" s="277">
        <f t="shared" si="28"/>
        <v>6.9444444452528842E-3</v>
      </c>
      <c r="D591" s="278">
        <v>1.0416666666666666E-2</v>
      </c>
      <c r="E591" s="329" t="s">
        <v>170</v>
      </c>
      <c r="F591" s="330"/>
      <c r="G591" s="330"/>
      <c r="H591" s="330"/>
      <c r="I591" s="330"/>
      <c r="J591" s="330"/>
      <c r="K591" s="330"/>
      <c r="L591" s="330"/>
      <c r="M591" s="330"/>
      <c r="N591" s="330"/>
      <c r="O591" s="330"/>
      <c r="P591" s="330"/>
      <c r="Q591" s="330"/>
      <c r="R591" s="330"/>
      <c r="S591" s="330"/>
      <c r="T591" s="330"/>
      <c r="U591" s="331"/>
      <c r="V591" s="247" t="e">
        <f>VLOOKUP(E591,Лист4!A$2:G$395,7,FALSE)</f>
        <v>#N/A</v>
      </c>
      <c r="W591" s="247">
        <f>IF(ISNA(V591),VLOOKUP(E591,категория!A$42:C$74,3,),6.94+R591*8.333/VLOOKUP(V591,категория!A$42:C$74,2,))</f>
        <v>2.085</v>
      </c>
    </row>
    <row r="592" spans="1:23" ht="15.75">
      <c r="A592" s="277">
        <v>43853.916666666664</v>
      </c>
      <c r="B592" s="277">
        <v>43853.923611111109</v>
      </c>
      <c r="C592" s="277">
        <f t="shared" si="28"/>
        <v>6.9444444452528842E-3</v>
      </c>
      <c r="D592" s="278">
        <v>3.472222222222222E-3</v>
      </c>
      <c r="E592" s="329" t="s">
        <v>327</v>
      </c>
      <c r="F592" s="330"/>
      <c r="G592" s="330"/>
      <c r="H592" s="330"/>
      <c r="I592" s="330"/>
      <c r="J592" s="330"/>
      <c r="K592" s="330"/>
      <c r="L592" s="330"/>
      <c r="M592" s="330"/>
      <c r="N592" s="330"/>
      <c r="O592" s="330"/>
      <c r="P592" s="330"/>
      <c r="Q592" s="330"/>
      <c r="R592" s="330"/>
      <c r="S592" s="330"/>
      <c r="T592" s="330"/>
      <c r="U592" s="331"/>
      <c r="V592" s="247" t="e">
        <f>VLOOKUP(E592,Лист4!A$2:G$395,7,FALSE)</f>
        <v>#N/A</v>
      </c>
      <c r="W592" s="247">
        <f>8.33*0.1666</f>
        <v>1.387778</v>
      </c>
    </row>
    <row r="593" spans="1:23" ht="60">
      <c r="A593" s="277">
        <v>43853.923611111109</v>
      </c>
      <c r="B593" s="277">
        <v>43853.958333333336</v>
      </c>
      <c r="C593" s="277">
        <f t="shared" si="28"/>
        <v>3.4722222226264421E-2</v>
      </c>
      <c r="D593" s="278">
        <v>3.4722222222222224E-2</v>
      </c>
      <c r="E593" s="279">
        <v>169</v>
      </c>
      <c r="F593" s="280" t="s">
        <v>440</v>
      </c>
      <c r="G593" s="280" t="s">
        <v>526</v>
      </c>
      <c r="H593" s="281" t="s">
        <v>260</v>
      </c>
      <c r="I593" s="282">
        <v>43854</v>
      </c>
      <c r="J593" s="283"/>
      <c r="K593" s="279" t="s">
        <v>227</v>
      </c>
      <c r="L593" s="284"/>
      <c r="M593" s="285" t="s">
        <v>276</v>
      </c>
      <c r="N593" s="280" t="s">
        <v>35</v>
      </c>
      <c r="O593" s="279">
        <v>250</v>
      </c>
      <c r="P593" s="279" t="s">
        <v>236</v>
      </c>
      <c r="Q593" s="286" t="s">
        <v>229</v>
      </c>
      <c r="R593" s="287">
        <v>2500</v>
      </c>
      <c r="S593" s="287">
        <v>2968</v>
      </c>
      <c r="T593" s="283" t="s">
        <v>232</v>
      </c>
      <c r="U593" s="287" t="s">
        <v>230</v>
      </c>
      <c r="V593" s="247" t="s">
        <v>286</v>
      </c>
      <c r="W593" s="247">
        <f>IF(ISNA(V593),VLOOKUP(E593,категория!A$42:C$74,3,),R593*8.333/VLOOKUP(V593,категория!A$42:C$74,2,))</f>
        <v>6.3128787878787875</v>
      </c>
    </row>
    <row r="594" spans="1:23" ht="15.75">
      <c r="A594" s="277">
        <v>43853.958333333336</v>
      </c>
      <c r="B594" s="277">
        <v>43853.982638888891</v>
      </c>
      <c r="C594" s="277">
        <f t="shared" si="28"/>
        <v>2.4305555554747116E-2</v>
      </c>
      <c r="D594" s="278">
        <v>4.1666666666666664E-2</v>
      </c>
      <c r="E594" s="329" t="s">
        <v>528</v>
      </c>
      <c r="F594" s="330"/>
      <c r="G594" s="330"/>
      <c r="H594" s="330"/>
      <c r="I594" s="330"/>
      <c r="J594" s="330"/>
      <c r="K594" s="330"/>
      <c r="L594" s="330"/>
      <c r="M594" s="330"/>
      <c r="N594" s="330"/>
      <c r="O594" s="330"/>
      <c r="P594" s="330"/>
      <c r="Q594" s="330"/>
      <c r="R594" s="330"/>
      <c r="S594" s="330"/>
      <c r="T594" s="330"/>
      <c r="U594" s="331"/>
      <c r="V594" s="247" t="e">
        <f>VLOOKUP(E594,Лист4!A$2:G$395,7,FALSE)</f>
        <v>#N/A</v>
      </c>
      <c r="W594" s="247">
        <f>8.33*0.5</f>
        <v>4.165</v>
      </c>
    </row>
    <row r="595" spans="1:23" ht="60">
      <c r="A595" s="277">
        <v>43853.982638888891</v>
      </c>
      <c r="B595" s="277">
        <v>43854.013888888891</v>
      </c>
      <c r="C595" s="277">
        <f t="shared" si="28"/>
        <v>3.125E-2</v>
      </c>
      <c r="D595" s="278">
        <v>3.125E-2</v>
      </c>
      <c r="E595" s="279">
        <v>169</v>
      </c>
      <c r="F595" s="280" t="s">
        <v>440</v>
      </c>
      <c r="G595" s="280" t="s">
        <v>526</v>
      </c>
      <c r="H595" s="281" t="s">
        <v>261</v>
      </c>
      <c r="I595" s="282">
        <v>43854</v>
      </c>
      <c r="J595" s="283"/>
      <c r="K595" s="279" t="s">
        <v>227</v>
      </c>
      <c r="L595" s="284"/>
      <c r="M595" s="285" t="s">
        <v>276</v>
      </c>
      <c r="N595" s="280" t="s">
        <v>35</v>
      </c>
      <c r="O595" s="279">
        <v>250</v>
      </c>
      <c r="P595" s="279" t="s">
        <v>236</v>
      </c>
      <c r="Q595" s="286" t="s">
        <v>229</v>
      </c>
      <c r="R595" s="287">
        <v>3000</v>
      </c>
      <c r="S595" s="287">
        <v>2671</v>
      </c>
      <c r="T595" s="283" t="s">
        <v>232</v>
      </c>
      <c r="U595" s="287" t="s">
        <v>230</v>
      </c>
      <c r="V595" s="247" t="s">
        <v>286</v>
      </c>
      <c r="W595" s="247">
        <f>IF(ISNA(V595),VLOOKUP(E595,категория!A$42:C$74,3,),R595*8.333/VLOOKUP(V595,категория!A$42:C$74,2,))</f>
        <v>7.5754545454545452</v>
      </c>
    </row>
    <row r="596" spans="1:23" ht="15.75">
      <c r="A596" s="277">
        <v>43854.013888888891</v>
      </c>
      <c r="B596" s="277">
        <v>43854.020833333336</v>
      </c>
      <c r="C596" s="277">
        <f t="shared" si="28"/>
        <v>6.9444444452528842E-3</v>
      </c>
      <c r="D596" s="278">
        <v>1.0416666666666666E-2</v>
      </c>
      <c r="E596" s="329" t="s">
        <v>170</v>
      </c>
      <c r="F596" s="330"/>
      <c r="G596" s="330"/>
      <c r="H596" s="330"/>
      <c r="I596" s="330"/>
      <c r="J596" s="330"/>
      <c r="K596" s="330"/>
      <c r="L596" s="330"/>
      <c r="M596" s="330"/>
      <c r="N596" s="330"/>
      <c r="O596" s="330"/>
      <c r="P596" s="330"/>
      <c r="Q596" s="330"/>
      <c r="R596" s="330"/>
      <c r="S596" s="330"/>
      <c r="T596" s="330"/>
      <c r="U596" s="331"/>
      <c r="V596" s="247" t="e">
        <f>VLOOKUP(E596,Лист4!A$2:G$395,7,FALSE)</f>
        <v>#N/A</v>
      </c>
      <c r="W596" s="247">
        <f>IF(ISNA(V596),VLOOKUP(E596,категория!A$42:C$74,3,),6.94+R596*8.333/VLOOKUP(V596,категория!A$42:C$74,2,))</f>
        <v>2.085</v>
      </c>
    </row>
    <row r="597" spans="1:23" ht="15.75">
      <c r="A597" s="277">
        <v>43854.020833333336</v>
      </c>
      <c r="B597" s="277">
        <v>43854.034722222219</v>
      </c>
      <c r="C597" s="277">
        <f t="shared" si="28"/>
        <v>1.3888888883229811E-2</v>
      </c>
      <c r="D597" s="278">
        <v>2.0833333333333332E-2</v>
      </c>
      <c r="E597" s="329" t="s">
        <v>2</v>
      </c>
      <c r="F597" s="330"/>
      <c r="G597" s="330"/>
      <c r="H597" s="330"/>
      <c r="I597" s="330"/>
      <c r="J597" s="330"/>
      <c r="K597" s="330"/>
      <c r="L597" s="330"/>
      <c r="M597" s="330"/>
      <c r="N597" s="330"/>
      <c r="O597" s="330"/>
      <c r="P597" s="330"/>
      <c r="Q597" s="330"/>
      <c r="R597" s="330"/>
      <c r="S597" s="330"/>
      <c r="T597" s="330"/>
      <c r="U597" s="331"/>
      <c r="V597" s="247" t="e">
        <f>VLOOKUP(E597,Лист4!A$2:G$395,7,FALSE)</f>
        <v>#N/A</v>
      </c>
      <c r="W597" s="247">
        <f>IF(ISNA(V597),VLOOKUP(E597,категория!A$42:C$74,3,),6.94+R597*8.333/VLOOKUP(V597,категория!A$42:C$74,2,))</f>
        <v>4.17</v>
      </c>
    </row>
    <row r="598" spans="1:23" ht="15.75">
      <c r="A598" s="277">
        <v>43854.034722222219</v>
      </c>
      <c r="B598" s="277">
        <v>43854.055555555555</v>
      </c>
      <c r="C598" s="277">
        <f t="shared" si="28"/>
        <v>2.0833333335758653E-2</v>
      </c>
      <c r="D598" s="278">
        <v>2.0833333333333332E-2</v>
      </c>
      <c r="E598" s="329" t="s">
        <v>23</v>
      </c>
      <c r="F598" s="330"/>
      <c r="G598" s="330"/>
      <c r="H598" s="330"/>
      <c r="I598" s="330"/>
      <c r="J598" s="330"/>
      <c r="K598" s="330"/>
      <c r="L598" s="330"/>
      <c r="M598" s="330"/>
      <c r="N598" s="330"/>
      <c r="O598" s="330"/>
      <c r="P598" s="330"/>
      <c r="Q598" s="330"/>
      <c r="R598" s="330"/>
      <c r="S598" s="330"/>
      <c r="T598" s="330"/>
      <c r="U598" s="331"/>
      <c r="V598" s="247" t="e">
        <f>VLOOKUP(E598,Лист4!A$2:G$395,7,FALSE)</f>
        <v>#N/A</v>
      </c>
      <c r="W598" s="247">
        <f>IF(ISNA(V598),VLOOKUP(E598,категория!A$42:C$74,3,),6.94+R598*8.333/VLOOKUP(V598,категория!A$42:C$74,2,))</f>
        <v>2.78</v>
      </c>
    </row>
    <row r="599" spans="1:23" ht="15.75">
      <c r="A599" s="277">
        <v>43854.055555555555</v>
      </c>
      <c r="B599" s="277">
        <v>43854.208333333336</v>
      </c>
      <c r="C599" s="277">
        <f t="shared" si="28"/>
        <v>0.15277777778101154</v>
      </c>
      <c r="D599" s="278">
        <v>4.1666666666666664E-2</v>
      </c>
      <c r="E599" s="329" t="s">
        <v>529</v>
      </c>
      <c r="F599" s="330"/>
      <c r="G599" s="330"/>
      <c r="H599" s="330"/>
      <c r="I599" s="330"/>
      <c r="J599" s="330"/>
      <c r="K599" s="330"/>
      <c r="L599" s="330"/>
      <c r="M599" s="330"/>
      <c r="N599" s="330"/>
      <c r="O599" s="330"/>
      <c r="P599" s="330"/>
      <c r="Q599" s="330"/>
      <c r="R599" s="330"/>
      <c r="S599" s="330"/>
      <c r="T599" s="330"/>
      <c r="U599" s="331"/>
      <c r="V599" s="247" t="e">
        <f>VLOOKUP(E599,Лист4!A$2:G$395,7,FALSE)</f>
        <v>#N/A</v>
      </c>
      <c r="W599" s="247">
        <f>3.6667*8.333</f>
        <v>30.554611100000002</v>
      </c>
    </row>
    <row r="600" spans="1:23" ht="108">
      <c r="A600" s="277">
        <v>43854.208333333336</v>
      </c>
      <c r="B600" s="277">
        <v>43854.239583333336</v>
      </c>
      <c r="C600" s="277">
        <f t="shared" si="28"/>
        <v>3.125E-2</v>
      </c>
      <c r="D600" s="278">
        <v>3.125E-2</v>
      </c>
      <c r="E600" s="279">
        <v>196</v>
      </c>
      <c r="F600" s="280" t="s">
        <v>271</v>
      </c>
      <c r="G600" s="280" t="s">
        <v>530</v>
      </c>
      <c r="H600" s="281" t="s">
        <v>245</v>
      </c>
      <c r="I600" s="282">
        <v>43857</v>
      </c>
      <c r="J600" s="283"/>
      <c r="K600" s="279" t="s">
        <v>227</v>
      </c>
      <c r="L600" s="284"/>
      <c r="M600" s="285" t="s">
        <v>276</v>
      </c>
      <c r="N600" s="280" t="s">
        <v>53</v>
      </c>
      <c r="O600" s="279">
        <v>270</v>
      </c>
      <c r="P600" s="279" t="s">
        <v>228</v>
      </c>
      <c r="Q600" s="286" t="s">
        <v>229</v>
      </c>
      <c r="R600" s="287">
        <v>1155</v>
      </c>
      <c r="S600" s="287">
        <v>1697</v>
      </c>
      <c r="T600" s="283"/>
      <c r="U600" s="287" t="s">
        <v>230</v>
      </c>
      <c r="V600" s="247" t="s">
        <v>286</v>
      </c>
      <c r="W600" s="247">
        <f>IF(ISNA(V600),VLOOKUP(E600,категория!A$42:C$74,3,),6.94+R600*8.333/VLOOKUP(V600,категория!A$42:C$74,2,))</f>
        <v>9.8565500000000004</v>
      </c>
    </row>
    <row r="601" spans="1:23" ht="15.75">
      <c r="A601" s="277">
        <v>43854.239583333336</v>
      </c>
      <c r="B601" s="277">
        <v>43854.246527777781</v>
      </c>
      <c r="C601" s="277">
        <f t="shared" si="28"/>
        <v>6.9444444452528842E-3</v>
      </c>
      <c r="D601" s="278">
        <v>6.9444444444444441E-3</v>
      </c>
      <c r="E601" s="329" t="s">
        <v>170</v>
      </c>
      <c r="F601" s="330"/>
      <c r="G601" s="330"/>
      <c r="H601" s="330"/>
      <c r="I601" s="330"/>
      <c r="J601" s="330"/>
      <c r="K601" s="330"/>
      <c r="L601" s="330"/>
      <c r="M601" s="330"/>
      <c r="N601" s="330"/>
      <c r="O601" s="330"/>
      <c r="P601" s="330"/>
      <c r="Q601" s="330"/>
      <c r="R601" s="330"/>
      <c r="S601" s="330"/>
      <c r="T601" s="330"/>
      <c r="U601" s="331"/>
      <c r="V601" s="247" t="e">
        <f>VLOOKUP(E601,Лист4!A$2:G$395,7,FALSE)</f>
        <v>#N/A</v>
      </c>
      <c r="W601" s="247">
        <f>IF(ISNA(V601),VLOOKUP(E601,категория!A$42:C$74,3,),6.94+R601*8.333/VLOOKUP(V601,категория!A$42:C$74,2,))</f>
        <v>2.085</v>
      </c>
    </row>
    <row r="602" spans="1:23" ht="15.75">
      <c r="A602" s="277">
        <v>43854.246527777781</v>
      </c>
      <c r="B602" s="277">
        <v>43854.260416666664</v>
      </c>
      <c r="C602" s="277">
        <f t="shared" si="28"/>
        <v>1.3888888883229811E-2</v>
      </c>
      <c r="D602" s="278">
        <v>3.472222222222222E-3</v>
      </c>
      <c r="E602" s="329" t="s">
        <v>237</v>
      </c>
      <c r="F602" s="330"/>
      <c r="G602" s="330"/>
      <c r="H602" s="330"/>
      <c r="I602" s="330"/>
      <c r="J602" s="330"/>
      <c r="K602" s="330"/>
      <c r="L602" s="330"/>
      <c r="M602" s="330"/>
      <c r="N602" s="330"/>
      <c r="O602" s="330"/>
      <c r="P602" s="330"/>
      <c r="Q602" s="330"/>
      <c r="R602" s="330"/>
      <c r="S602" s="330"/>
      <c r="T602" s="330"/>
      <c r="U602" s="331"/>
      <c r="V602" s="247" t="e">
        <f>VLOOKUP(E602,Лист4!A$2:G$395,7,FALSE)</f>
        <v>#N/A</v>
      </c>
      <c r="W602" s="247">
        <f>IF(ISNA(V602),VLOOKUP(E602,категория!A$42:C$74,3,),6.94+R602*8.333/VLOOKUP(V602,категория!A$42:C$74,2,))</f>
        <v>5.5553333333333335</v>
      </c>
    </row>
    <row r="603" spans="1:23" ht="108">
      <c r="A603" s="277">
        <v>43854.260416666664</v>
      </c>
      <c r="B603" s="277">
        <v>43854.291666666664</v>
      </c>
      <c r="C603" s="277">
        <f t="shared" si="28"/>
        <v>3.125E-2</v>
      </c>
      <c r="D603" s="278">
        <v>3.125E-2</v>
      </c>
      <c r="E603" s="279">
        <v>196</v>
      </c>
      <c r="F603" s="280" t="s">
        <v>271</v>
      </c>
      <c r="G603" s="280" t="s">
        <v>530</v>
      </c>
      <c r="H603" s="281" t="s">
        <v>246</v>
      </c>
      <c r="I603" s="282">
        <v>43857</v>
      </c>
      <c r="J603" s="283"/>
      <c r="K603" s="279" t="s">
        <v>240</v>
      </c>
      <c r="L603" s="284"/>
      <c r="M603" s="285" t="s">
        <v>276</v>
      </c>
      <c r="N603" s="280" t="s">
        <v>53</v>
      </c>
      <c r="O603" s="279">
        <v>270</v>
      </c>
      <c r="P603" s="279" t="s">
        <v>228</v>
      </c>
      <c r="Q603" s="286" t="s">
        <v>229</v>
      </c>
      <c r="R603" s="287">
        <v>1400</v>
      </c>
      <c r="S603" s="287">
        <v>1697</v>
      </c>
      <c r="T603" s="283"/>
      <c r="U603" s="287" t="s">
        <v>230</v>
      </c>
      <c r="V603" s="247" t="s">
        <v>286</v>
      </c>
      <c r="W603" s="247">
        <f>IF(ISNA(V603),VLOOKUP(E603,категория!A$42:C$74,3,),6.94+R603*8.333/VLOOKUP(V603,категория!A$42:C$74,2,))</f>
        <v>10.475212121212122</v>
      </c>
    </row>
    <row r="604" spans="1:23" ht="15.75">
      <c r="A604" s="277">
        <v>43854.291666666664</v>
      </c>
      <c r="B604" s="277">
        <v>43854.333333333336</v>
      </c>
      <c r="C604" s="277">
        <f t="shared" si="28"/>
        <v>4.1666666671517305E-2</v>
      </c>
      <c r="D604" s="278">
        <v>4.1666666666666664E-2</v>
      </c>
      <c r="E604" s="329" t="s">
        <v>7</v>
      </c>
      <c r="F604" s="330"/>
      <c r="G604" s="330"/>
      <c r="H604" s="330"/>
      <c r="I604" s="330"/>
      <c r="J604" s="330"/>
      <c r="K604" s="330"/>
      <c r="L604" s="330"/>
      <c r="M604" s="330"/>
      <c r="N604" s="330"/>
      <c r="O604" s="330"/>
      <c r="P604" s="330"/>
      <c r="Q604" s="330"/>
      <c r="R604" s="330"/>
      <c r="S604" s="330"/>
      <c r="T604" s="330"/>
      <c r="U604" s="331"/>
      <c r="V604" s="247" t="e">
        <f>VLOOKUP(E604,Лист4!A$2:G$395,7,FALSE)</f>
        <v>#N/A</v>
      </c>
      <c r="W604" s="247">
        <f>IF(ISNA(V604),VLOOKUP(E604,категория!A$42:C$74,3,),6.94+R604*8.333/VLOOKUP(V604,категория!A$42:C$74,2,))</f>
        <v>8.3332999999999995</v>
      </c>
    </row>
    <row r="605" spans="1:23" ht="15.75">
      <c r="A605" s="288">
        <v>43854.333333333336</v>
      </c>
      <c r="B605" s="332" t="s">
        <v>531</v>
      </c>
      <c r="C605" s="333"/>
      <c r="D605" s="334"/>
      <c r="E605" s="334"/>
      <c r="F605" s="334"/>
      <c r="G605" s="334"/>
      <c r="H605" s="334"/>
      <c r="I605" s="334"/>
      <c r="J605" s="334"/>
      <c r="K605" s="334"/>
      <c r="L605" s="334"/>
      <c r="M605" s="334"/>
      <c r="N605" s="334"/>
      <c r="O605" s="334"/>
      <c r="P605" s="334"/>
      <c r="Q605" s="334"/>
      <c r="R605" s="334"/>
      <c r="S605" s="334"/>
      <c r="T605" s="334"/>
      <c r="U605" s="335"/>
      <c r="V605" s="247" t="e">
        <f>VLOOKUP(E605,Лист4!A$2:G$395,7,FALSE)</f>
        <v>#N/A</v>
      </c>
      <c r="W605" s="52">
        <f>SUM(W588:W604)</f>
        <v>110.67888567575758</v>
      </c>
    </row>
    <row r="606" spans="1:23" ht="15.75">
      <c r="A606" s="277">
        <v>43854.333333333336</v>
      </c>
      <c r="B606" s="277">
        <v>43854.354166666664</v>
      </c>
      <c r="C606" s="277">
        <f>B606-A606</f>
        <v>2.0833333328482695E-2</v>
      </c>
      <c r="D606" s="278">
        <v>2.0833333333333332E-2</v>
      </c>
      <c r="E606" s="329" t="s">
        <v>22</v>
      </c>
      <c r="F606" s="330"/>
      <c r="G606" s="330"/>
      <c r="H606" s="330"/>
      <c r="I606" s="330"/>
      <c r="J606" s="330"/>
      <c r="K606" s="330"/>
      <c r="L606" s="330"/>
      <c r="M606" s="330"/>
      <c r="N606" s="330"/>
      <c r="O606" s="330"/>
      <c r="P606" s="330"/>
      <c r="Q606" s="330"/>
      <c r="R606" s="330"/>
      <c r="S606" s="330"/>
      <c r="T606" s="330"/>
      <c r="U606" s="331"/>
      <c r="V606" s="247" t="e">
        <f>VLOOKUP(E606,Лист4!A$2:G$395,7,FALSE)</f>
        <v>#N/A</v>
      </c>
      <c r="W606" s="247">
        <f>IF(ISNA(V606),VLOOKUP(E606,категория!A$42:C$74,3,),6.94+R606*8.333/VLOOKUP(V606,категория!A$42:C$74,2,))</f>
        <v>4.17</v>
      </c>
    </row>
    <row r="607" spans="1:23" ht="15.75">
      <c r="A607" s="277">
        <v>43854.354166666664</v>
      </c>
      <c r="B607" s="277">
        <v>43854.388888888891</v>
      </c>
      <c r="C607" s="277">
        <f t="shared" ref="C607:C630" si="29">B607-A607</f>
        <v>3.4722222226264421E-2</v>
      </c>
      <c r="D607" s="278">
        <v>4.1666666666666664E-2</v>
      </c>
      <c r="E607" s="329" t="s">
        <v>28</v>
      </c>
      <c r="F607" s="330"/>
      <c r="G607" s="330"/>
      <c r="H607" s="330"/>
      <c r="I607" s="330"/>
      <c r="J607" s="330"/>
      <c r="K607" s="330"/>
      <c r="L607" s="330"/>
      <c r="M607" s="330"/>
      <c r="N607" s="330"/>
      <c r="O607" s="330"/>
      <c r="P607" s="330"/>
      <c r="Q607" s="330"/>
      <c r="R607" s="330"/>
      <c r="S607" s="330"/>
      <c r="T607" s="330"/>
      <c r="U607" s="331"/>
      <c r="V607" s="247" t="e">
        <f>VLOOKUP(E607,Лист4!A$2:G$395,7,FALSE)</f>
        <v>#N/A</v>
      </c>
      <c r="W607" s="247">
        <f>IF(ISNA(V607),VLOOKUP(E607,категория!A$42:C$74,3,),6.94+R607*8.333/VLOOKUP(V607,категория!A$42:C$74,2,))*0.86</f>
        <v>7.1666379999999998</v>
      </c>
    </row>
    <row r="608" spans="1:23" ht="31.5" customHeight="1">
      <c r="A608" s="277">
        <v>43854.388888888891</v>
      </c>
      <c r="B608" s="277">
        <v>43854.420138888891</v>
      </c>
      <c r="C608" s="277">
        <f t="shared" si="29"/>
        <v>3.125E-2</v>
      </c>
      <c r="D608" s="278">
        <v>3.125E-2</v>
      </c>
      <c r="E608" s="279">
        <v>196</v>
      </c>
      <c r="F608" s="280" t="s">
        <v>271</v>
      </c>
      <c r="G608" s="280" t="s">
        <v>530</v>
      </c>
      <c r="H608" s="281" t="s">
        <v>247</v>
      </c>
      <c r="I608" s="282">
        <v>43857</v>
      </c>
      <c r="J608" s="283"/>
      <c r="K608" s="279" t="s">
        <v>240</v>
      </c>
      <c r="L608" s="284"/>
      <c r="M608" s="285" t="s">
        <v>276</v>
      </c>
      <c r="N608" s="280" t="s">
        <v>53</v>
      </c>
      <c r="O608" s="279">
        <v>270</v>
      </c>
      <c r="P608" s="279" t="s">
        <v>228</v>
      </c>
      <c r="Q608" s="286" t="s">
        <v>229</v>
      </c>
      <c r="R608" s="287">
        <v>1155</v>
      </c>
      <c r="S608" s="287">
        <v>1697</v>
      </c>
      <c r="T608" s="283"/>
      <c r="U608" s="287" t="s">
        <v>76</v>
      </c>
      <c r="V608" s="247" t="s">
        <v>286</v>
      </c>
      <c r="W608" s="247">
        <f>IF(ISNA(V608),VLOOKUP(E608,категория!A$42:C$74,3,),6.94+R608*8.333/VLOOKUP(V608,категория!A$42:C$74,2,))</f>
        <v>9.8565500000000004</v>
      </c>
    </row>
    <row r="609" spans="1:23" ht="15.75">
      <c r="A609" s="277">
        <v>43854.420138888891</v>
      </c>
      <c r="B609" s="277">
        <v>43854.423611111109</v>
      </c>
      <c r="C609" s="277">
        <f t="shared" si="29"/>
        <v>3.4722222189884633E-3</v>
      </c>
      <c r="D609" s="278">
        <v>1.0416666666666666E-2</v>
      </c>
      <c r="E609" s="329" t="s">
        <v>170</v>
      </c>
      <c r="F609" s="330"/>
      <c r="G609" s="330"/>
      <c r="H609" s="330"/>
      <c r="I609" s="330"/>
      <c r="J609" s="330"/>
      <c r="K609" s="330"/>
      <c r="L609" s="330"/>
      <c r="M609" s="330"/>
      <c r="N609" s="330"/>
      <c r="O609" s="330"/>
      <c r="P609" s="330"/>
      <c r="Q609" s="330"/>
      <c r="R609" s="330"/>
      <c r="S609" s="330"/>
      <c r="T609" s="330"/>
      <c r="U609" s="331"/>
      <c r="V609" s="247" t="e">
        <f>VLOOKUP(E609,Лист4!A$2:G$395,7,FALSE)</f>
        <v>#N/A</v>
      </c>
      <c r="W609" s="247">
        <f>IF(ISNA(V609),VLOOKUP(E609,категория!A$42:C$74,3,),6.94+R609*8.333/VLOOKUP(V609,категория!A$42:C$74,2,))</f>
        <v>2.085</v>
      </c>
    </row>
    <row r="610" spans="1:23" ht="15.75">
      <c r="A610" s="277">
        <v>43854.423611111109</v>
      </c>
      <c r="B610" s="277">
        <v>43854.444444444445</v>
      </c>
      <c r="C610" s="277">
        <f t="shared" si="29"/>
        <v>2.0833333335758653E-2</v>
      </c>
      <c r="D610" s="278">
        <v>2.0833333333333332E-2</v>
      </c>
      <c r="E610" s="329" t="s">
        <v>28</v>
      </c>
      <c r="F610" s="330"/>
      <c r="G610" s="330"/>
      <c r="H610" s="330"/>
      <c r="I610" s="330"/>
      <c r="J610" s="330"/>
      <c r="K610" s="330"/>
      <c r="L610" s="330"/>
      <c r="M610" s="330"/>
      <c r="N610" s="330"/>
      <c r="O610" s="330"/>
      <c r="P610" s="330"/>
      <c r="Q610" s="330"/>
      <c r="R610" s="330"/>
      <c r="S610" s="330"/>
      <c r="T610" s="330"/>
      <c r="U610" s="331"/>
      <c r="V610" s="247" t="e">
        <f>VLOOKUP(E610,Лист4!A$2:G$395,7,FALSE)</f>
        <v>#N/A</v>
      </c>
      <c r="W610" s="247">
        <f>IF(ISNA(V610),VLOOKUP(E610,категория!A$42:C$74,3,),6.94+R610*8.333/VLOOKUP(V610,категория!A$42:C$74,2,))</f>
        <v>8.3332999999999995</v>
      </c>
    </row>
    <row r="611" spans="1:23" ht="108">
      <c r="A611" s="277">
        <v>43854.444444444445</v>
      </c>
      <c r="B611" s="277">
        <v>43854.479166666664</v>
      </c>
      <c r="C611" s="277">
        <f t="shared" si="29"/>
        <v>3.4722222218988463E-2</v>
      </c>
      <c r="D611" s="278">
        <v>3.4722222222222224E-2</v>
      </c>
      <c r="E611" s="279">
        <v>196</v>
      </c>
      <c r="F611" s="280" t="s">
        <v>271</v>
      </c>
      <c r="G611" s="280" t="s">
        <v>530</v>
      </c>
      <c r="H611" s="281" t="s">
        <v>282</v>
      </c>
      <c r="I611" s="282">
        <v>43857</v>
      </c>
      <c r="J611" s="283"/>
      <c r="K611" s="279" t="s">
        <v>240</v>
      </c>
      <c r="L611" s="284"/>
      <c r="M611" s="285" t="s">
        <v>276</v>
      </c>
      <c r="N611" s="280" t="s">
        <v>53</v>
      </c>
      <c r="O611" s="279">
        <v>270</v>
      </c>
      <c r="P611" s="279" t="s">
        <v>228</v>
      </c>
      <c r="Q611" s="286" t="s">
        <v>229</v>
      </c>
      <c r="R611" s="287">
        <v>1155</v>
      </c>
      <c r="S611" s="287">
        <v>1697</v>
      </c>
      <c r="T611" s="283"/>
      <c r="U611" s="287" t="s">
        <v>76</v>
      </c>
      <c r="V611" s="247" t="s">
        <v>286</v>
      </c>
      <c r="W611" s="247">
        <f>IF(ISNA(V611),VLOOKUP(E611,категория!A$42:C$74,3,),6.94+R611*8.333/VLOOKUP(V611,категория!A$42:C$74,2,))</f>
        <v>9.8565500000000004</v>
      </c>
    </row>
    <row r="612" spans="1:23" ht="15.75">
      <c r="A612" s="277">
        <v>43854.479166666664</v>
      </c>
      <c r="B612" s="277">
        <v>43854.482638888891</v>
      </c>
      <c r="C612" s="277">
        <f t="shared" si="29"/>
        <v>3.4722222262644209E-3</v>
      </c>
      <c r="D612" s="278">
        <v>3.472222222222222E-3</v>
      </c>
      <c r="E612" s="329" t="s">
        <v>170</v>
      </c>
      <c r="F612" s="330"/>
      <c r="G612" s="330"/>
      <c r="H612" s="330"/>
      <c r="I612" s="330"/>
      <c r="J612" s="330"/>
      <c r="K612" s="330"/>
      <c r="L612" s="330"/>
      <c r="M612" s="330"/>
      <c r="N612" s="330"/>
      <c r="O612" s="330"/>
      <c r="P612" s="330"/>
      <c r="Q612" s="330"/>
      <c r="R612" s="330"/>
      <c r="S612" s="330"/>
      <c r="T612" s="330"/>
      <c r="U612" s="331"/>
      <c r="V612" s="247" t="e">
        <f>VLOOKUP(E612,Лист4!A$2:G$395,7,FALSE)</f>
        <v>#N/A</v>
      </c>
      <c r="W612" s="247">
        <f>IF(ISNA(V612),VLOOKUP(E612,категория!A$42:C$74,3,),6.94+R612*8.333/VLOOKUP(V612,категория!A$42:C$74,2,))</f>
        <v>2.085</v>
      </c>
    </row>
    <row r="613" spans="1:23" ht="15.75">
      <c r="A613" s="277">
        <v>43854.482638888891</v>
      </c>
      <c r="B613" s="277">
        <v>43854.503472222219</v>
      </c>
      <c r="C613" s="277">
        <f t="shared" si="29"/>
        <v>2.0833333328482695E-2</v>
      </c>
      <c r="D613" s="278">
        <v>2.0833333333333332E-2</v>
      </c>
      <c r="E613" s="329" t="s">
        <v>23</v>
      </c>
      <c r="F613" s="330"/>
      <c r="G613" s="330"/>
      <c r="H613" s="330"/>
      <c r="I613" s="330"/>
      <c r="J613" s="330"/>
      <c r="K613" s="330"/>
      <c r="L613" s="330"/>
      <c r="M613" s="330"/>
      <c r="N613" s="330"/>
      <c r="O613" s="330"/>
      <c r="P613" s="330"/>
      <c r="Q613" s="330"/>
      <c r="R613" s="330"/>
      <c r="S613" s="330"/>
      <c r="T613" s="330"/>
      <c r="U613" s="331"/>
      <c r="V613" s="247" t="e">
        <f>VLOOKUP(E613,Лист4!A$2:G$395,7,FALSE)</f>
        <v>#N/A</v>
      </c>
      <c r="W613" s="247">
        <f>IF(ISNA(V613),VLOOKUP(E613,категория!A$42:C$74,3,),6.94+R613*8.333/VLOOKUP(V613,категория!A$42:C$74,2,))</f>
        <v>2.78</v>
      </c>
    </row>
    <row r="614" spans="1:23" ht="15.75">
      <c r="A614" s="277">
        <v>43854.503472222219</v>
      </c>
      <c r="B614" s="277">
        <v>43854.534722222219</v>
      </c>
      <c r="C614" s="277">
        <f t="shared" si="29"/>
        <v>3.125E-2</v>
      </c>
      <c r="D614" s="278">
        <v>3.472222222222222E-3</v>
      </c>
      <c r="E614" s="329" t="s">
        <v>237</v>
      </c>
      <c r="F614" s="330"/>
      <c r="G614" s="330"/>
      <c r="H614" s="330"/>
      <c r="I614" s="330"/>
      <c r="J614" s="330"/>
      <c r="K614" s="330"/>
      <c r="L614" s="330"/>
      <c r="M614" s="330"/>
      <c r="N614" s="330"/>
      <c r="O614" s="330"/>
      <c r="P614" s="330"/>
      <c r="Q614" s="330"/>
      <c r="R614" s="330"/>
      <c r="S614" s="330"/>
      <c r="T614" s="330"/>
      <c r="U614" s="331"/>
      <c r="V614" s="247" t="e">
        <f>VLOOKUP(E614,Лист4!A$2:G$395,7,FALSE)</f>
        <v>#N/A</v>
      </c>
      <c r="W614" s="247">
        <f>IF(ISNA(V614),VLOOKUP(E614,категория!A$42:C$74,3,),6.94+R614*8.333/VLOOKUP(V614,категория!A$42:C$74,2,))</f>
        <v>5.5553333333333335</v>
      </c>
    </row>
    <row r="615" spans="1:23" ht="108">
      <c r="A615" s="277">
        <v>43854.534722222219</v>
      </c>
      <c r="B615" s="277">
        <v>43854.565972222219</v>
      </c>
      <c r="C615" s="277">
        <f t="shared" si="29"/>
        <v>3.125E-2</v>
      </c>
      <c r="D615" s="278">
        <v>3.125E-2</v>
      </c>
      <c r="E615" s="279">
        <v>196</v>
      </c>
      <c r="F615" s="280" t="s">
        <v>271</v>
      </c>
      <c r="G615" s="280" t="s">
        <v>530</v>
      </c>
      <c r="H615" s="281" t="s">
        <v>248</v>
      </c>
      <c r="I615" s="282">
        <v>43857</v>
      </c>
      <c r="J615" s="283"/>
      <c r="K615" s="279" t="s">
        <v>227</v>
      </c>
      <c r="L615" s="284"/>
      <c r="M615" s="285" t="s">
        <v>276</v>
      </c>
      <c r="N615" s="280" t="s">
        <v>53</v>
      </c>
      <c r="O615" s="279">
        <v>270</v>
      </c>
      <c r="P615" s="279" t="s">
        <v>228</v>
      </c>
      <c r="Q615" s="286" t="s">
        <v>229</v>
      </c>
      <c r="R615" s="287">
        <v>1155</v>
      </c>
      <c r="S615" s="287">
        <v>1697</v>
      </c>
      <c r="T615" s="283"/>
      <c r="U615" s="287" t="s">
        <v>76</v>
      </c>
      <c r="V615" s="247" t="s">
        <v>286</v>
      </c>
      <c r="W615" s="247">
        <f>IF(ISNA(V615),VLOOKUP(E615,категория!A$42:C$74,3,),6.94+R615*8.333/VLOOKUP(V615,категория!A$42:C$74,2,))</f>
        <v>9.8565500000000004</v>
      </c>
    </row>
    <row r="616" spans="1:23" ht="15.75">
      <c r="A616" s="277">
        <v>43854.565972222219</v>
      </c>
      <c r="B616" s="277">
        <v>43854.569444444445</v>
      </c>
      <c r="C616" s="277">
        <f t="shared" si="29"/>
        <v>3.4722222262644209E-3</v>
      </c>
      <c r="D616" s="278">
        <v>1.0416666666666666E-2</v>
      </c>
      <c r="E616" s="329" t="s">
        <v>170</v>
      </c>
      <c r="F616" s="330"/>
      <c r="G616" s="330"/>
      <c r="H616" s="330"/>
      <c r="I616" s="330"/>
      <c r="J616" s="330"/>
      <c r="K616" s="330"/>
      <c r="L616" s="330"/>
      <c r="M616" s="330"/>
      <c r="N616" s="330"/>
      <c r="O616" s="330"/>
      <c r="P616" s="330"/>
      <c r="Q616" s="330"/>
      <c r="R616" s="330"/>
      <c r="S616" s="330"/>
      <c r="T616" s="330"/>
      <c r="U616" s="331"/>
      <c r="V616" s="247" t="e">
        <f>VLOOKUP(E616,Лист4!A$2:G$395,7,FALSE)</f>
        <v>#N/A</v>
      </c>
      <c r="W616" s="247">
        <f>IF(ISNA(V616),VLOOKUP(E616,категория!A$42:C$74,3,),6.94+R616*8.333/VLOOKUP(V616,категория!A$42:C$74,2,))</f>
        <v>2.085</v>
      </c>
    </row>
    <row r="617" spans="1:23" ht="15.75">
      <c r="A617" s="277">
        <v>43854.569444444445</v>
      </c>
      <c r="B617" s="277">
        <v>43854.590277777781</v>
      </c>
      <c r="C617" s="277">
        <f t="shared" si="29"/>
        <v>2.0833333335758653E-2</v>
      </c>
      <c r="D617" s="278">
        <v>2.0833333333333332E-2</v>
      </c>
      <c r="E617" s="329" t="s">
        <v>2</v>
      </c>
      <c r="F617" s="330"/>
      <c r="G617" s="330"/>
      <c r="H617" s="330"/>
      <c r="I617" s="330"/>
      <c r="J617" s="330"/>
      <c r="K617" s="330"/>
      <c r="L617" s="330"/>
      <c r="M617" s="330"/>
      <c r="N617" s="330"/>
      <c r="O617" s="330"/>
      <c r="P617" s="330"/>
      <c r="Q617" s="330"/>
      <c r="R617" s="330"/>
      <c r="S617" s="330"/>
      <c r="T617" s="330"/>
      <c r="U617" s="331"/>
      <c r="V617" s="247" t="e">
        <f>VLOOKUP(E617,Лист4!A$2:G$395,7,FALSE)</f>
        <v>#N/A</v>
      </c>
      <c r="W617" s="247">
        <f>IF(ISNA(V617),VLOOKUP(E617,категория!A$42:C$74,3,),6.94+R617*8.333/VLOOKUP(V617,категория!A$42:C$74,2,))</f>
        <v>4.17</v>
      </c>
    </row>
    <row r="618" spans="1:23" ht="108">
      <c r="A618" s="277">
        <v>43854.590277777781</v>
      </c>
      <c r="B618" s="277">
        <v>43854.621527777781</v>
      </c>
      <c r="C618" s="277">
        <f t="shared" si="29"/>
        <v>3.125E-2</v>
      </c>
      <c r="D618" s="278">
        <v>3.125E-2</v>
      </c>
      <c r="E618" s="279">
        <v>196</v>
      </c>
      <c r="F618" s="280" t="s">
        <v>271</v>
      </c>
      <c r="G618" s="280" t="s">
        <v>530</v>
      </c>
      <c r="H618" s="281" t="s">
        <v>281</v>
      </c>
      <c r="I618" s="282">
        <v>43857</v>
      </c>
      <c r="J618" s="283"/>
      <c r="K618" s="279" t="s">
        <v>227</v>
      </c>
      <c r="L618" s="284"/>
      <c r="M618" s="285" t="s">
        <v>276</v>
      </c>
      <c r="N618" s="280" t="s">
        <v>53</v>
      </c>
      <c r="O618" s="279">
        <v>270</v>
      </c>
      <c r="P618" s="279" t="s">
        <v>228</v>
      </c>
      <c r="Q618" s="286" t="s">
        <v>229</v>
      </c>
      <c r="R618" s="287">
        <v>1155</v>
      </c>
      <c r="S618" s="287">
        <v>1697</v>
      </c>
      <c r="T618" s="283"/>
      <c r="U618" s="287" t="s">
        <v>76</v>
      </c>
      <c r="V618" s="247" t="s">
        <v>286</v>
      </c>
      <c r="W618" s="247">
        <f>IF(ISNA(V618),VLOOKUP(E618,категория!A$42:C$74,3,),6.94+R618*8.333/VLOOKUP(V618,категория!A$42:C$74,2,))</f>
        <v>9.8565500000000004</v>
      </c>
    </row>
    <row r="619" spans="1:23" ht="15.75">
      <c r="A619" s="277">
        <v>43854.621527777781</v>
      </c>
      <c r="B619" s="277">
        <v>43854.625</v>
      </c>
      <c r="C619" s="277">
        <f t="shared" si="29"/>
        <v>3.4722222189884633E-3</v>
      </c>
      <c r="D619" s="278">
        <v>1.0416666666666666E-2</v>
      </c>
      <c r="E619" s="329" t="s">
        <v>170</v>
      </c>
      <c r="F619" s="330"/>
      <c r="G619" s="330"/>
      <c r="H619" s="330"/>
      <c r="I619" s="330"/>
      <c r="J619" s="330"/>
      <c r="K619" s="330"/>
      <c r="L619" s="330"/>
      <c r="M619" s="330"/>
      <c r="N619" s="330"/>
      <c r="O619" s="330"/>
      <c r="P619" s="330"/>
      <c r="Q619" s="330"/>
      <c r="R619" s="330"/>
      <c r="S619" s="330"/>
      <c r="T619" s="330"/>
      <c r="U619" s="331"/>
      <c r="V619" s="247" t="e">
        <f>VLOOKUP(E619,Лист4!A$2:G$395,7,FALSE)</f>
        <v>#N/A</v>
      </c>
      <c r="W619" s="247">
        <f>IF(ISNA(V619),VLOOKUP(E619,категория!A$42:C$74,3,),6.94+R619*8.333/VLOOKUP(V619,категория!A$42:C$74,2,))</f>
        <v>2.085</v>
      </c>
    </row>
    <row r="620" spans="1:23" ht="15.75">
      <c r="A620" s="277">
        <v>43854.625</v>
      </c>
      <c r="B620" s="277">
        <v>43854.631944444445</v>
      </c>
      <c r="C620" s="277">
        <f t="shared" si="29"/>
        <v>6.9444444452528842E-3</v>
      </c>
      <c r="D620" s="278">
        <v>2.0833333333333332E-2</v>
      </c>
      <c r="E620" s="329" t="s">
        <v>2</v>
      </c>
      <c r="F620" s="330"/>
      <c r="G620" s="330"/>
      <c r="H620" s="330"/>
      <c r="I620" s="330"/>
      <c r="J620" s="330"/>
      <c r="K620" s="330"/>
      <c r="L620" s="330"/>
      <c r="M620" s="330"/>
      <c r="N620" s="330"/>
      <c r="O620" s="330"/>
      <c r="P620" s="330"/>
      <c r="Q620" s="330"/>
      <c r="R620" s="330"/>
      <c r="S620" s="330"/>
      <c r="T620" s="330"/>
      <c r="U620" s="331"/>
      <c r="V620" s="247" t="e">
        <f>VLOOKUP(E620,Лист4!A$2:G$395,7,FALSE)</f>
        <v>#N/A</v>
      </c>
      <c r="W620" s="247">
        <f>IF(ISNA(V620),VLOOKUP(E620,категория!A$42:C$74,3,),6.94+R620*8.333/VLOOKUP(V620,категория!A$42:C$74,2,))</f>
        <v>4.17</v>
      </c>
    </row>
    <row r="621" spans="1:23" ht="15.75">
      <c r="A621" s="277">
        <v>43854.631944444445</v>
      </c>
      <c r="B621" s="277">
        <v>43854.666666666664</v>
      </c>
      <c r="C621" s="277">
        <f t="shared" si="29"/>
        <v>3.4722222218988463E-2</v>
      </c>
      <c r="D621" s="278">
        <v>3.4722222222222224E-2</v>
      </c>
      <c r="E621" s="329" t="s">
        <v>172</v>
      </c>
      <c r="F621" s="330"/>
      <c r="G621" s="330"/>
      <c r="H621" s="330"/>
      <c r="I621" s="330"/>
      <c r="J621" s="330"/>
      <c r="K621" s="330"/>
      <c r="L621" s="330"/>
      <c r="M621" s="330"/>
      <c r="N621" s="330"/>
      <c r="O621" s="330"/>
      <c r="P621" s="330"/>
      <c r="Q621" s="330"/>
      <c r="R621" s="330"/>
      <c r="S621" s="330"/>
      <c r="T621" s="330"/>
      <c r="U621" s="331"/>
      <c r="V621" s="247" t="e">
        <f>VLOOKUP(E621,Лист4!A$2:G$395,7,FALSE)</f>
        <v>#N/A</v>
      </c>
      <c r="W621" s="247">
        <f>IF(ISNA(V621),VLOOKUP(E621,категория!A$42:C$74,3,),6.94+R621*8.333/VLOOKUP(V621,категория!A$42:C$74,2,))</f>
        <v>16.670000000000002</v>
      </c>
    </row>
    <row r="622" spans="1:23" ht="15.75">
      <c r="A622" s="277">
        <v>43854.666666666664</v>
      </c>
      <c r="B622" s="277">
        <v>43854.680555555555</v>
      </c>
      <c r="C622" s="277">
        <f t="shared" si="29"/>
        <v>1.3888888890505768E-2</v>
      </c>
      <c r="D622" s="278">
        <v>3.472222222222222E-3</v>
      </c>
      <c r="E622" s="329" t="s">
        <v>24</v>
      </c>
      <c r="F622" s="330"/>
      <c r="G622" s="330"/>
      <c r="H622" s="330"/>
      <c r="I622" s="330"/>
      <c r="J622" s="330"/>
      <c r="K622" s="330"/>
      <c r="L622" s="330"/>
      <c r="M622" s="330"/>
      <c r="N622" s="330"/>
      <c r="O622" s="330"/>
      <c r="P622" s="330"/>
      <c r="Q622" s="330"/>
      <c r="R622" s="330"/>
      <c r="S622" s="330"/>
      <c r="T622" s="330"/>
      <c r="U622" s="331"/>
      <c r="V622" s="247" t="e">
        <f>VLOOKUP(E622,Лист4!A$2:G$395,7,FALSE)</f>
        <v>#N/A</v>
      </c>
      <c r="W622" s="247">
        <f>IF(ISNA(V622),VLOOKUP(E622,категория!A$42:C$74,3,),6.94+R622*8.333/VLOOKUP(V622,категория!A$42:C$74,2,))</f>
        <v>3.47</v>
      </c>
    </row>
    <row r="623" spans="1:23" ht="15.75">
      <c r="A623" s="277">
        <v>43854.680555555555</v>
      </c>
      <c r="B623" s="277">
        <v>43854.697916666664</v>
      </c>
      <c r="C623" s="277">
        <f t="shared" si="29"/>
        <v>1.7361111109494232E-2</v>
      </c>
      <c r="D623" s="278">
        <v>4.1666666666666664E-2</v>
      </c>
      <c r="E623" s="329" t="s">
        <v>253</v>
      </c>
      <c r="F623" s="330"/>
      <c r="G623" s="330"/>
      <c r="H623" s="330"/>
      <c r="I623" s="330"/>
      <c r="J623" s="330"/>
      <c r="K623" s="330"/>
      <c r="L623" s="330"/>
      <c r="M623" s="330"/>
      <c r="N623" s="330"/>
      <c r="O623" s="330"/>
      <c r="P623" s="330"/>
      <c r="Q623" s="330"/>
      <c r="R623" s="330"/>
      <c r="S623" s="330"/>
      <c r="T623" s="330"/>
      <c r="U623" s="331"/>
      <c r="V623" s="247" t="e">
        <f>VLOOKUP(E623,Лист4!A$2:G$395,7,FALSE)</f>
        <v>#N/A</v>
      </c>
      <c r="W623" s="247">
        <f>8.333*0.46</f>
        <v>3.83318</v>
      </c>
    </row>
    <row r="624" spans="1:23" ht="48">
      <c r="A624" s="277">
        <v>43854.697916666664</v>
      </c>
      <c r="B624" s="277">
        <v>43854.711805555555</v>
      </c>
      <c r="C624" s="277">
        <f t="shared" si="29"/>
        <v>1.3888888890505768E-2</v>
      </c>
      <c r="D624" s="278">
        <v>1.3888888888888888E-2</v>
      </c>
      <c r="E624" s="279">
        <v>166</v>
      </c>
      <c r="F624" s="280" t="s">
        <v>532</v>
      </c>
      <c r="G624" s="280" t="s">
        <v>533</v>
      </c>
      <c r="H624" s="281" t="s">
        <v>226</v>
      </c>
      <c r="I624" s="282">
        <v>43858</v>
      </c>
      <c r="J624" s="283"/>
      <c r="K624" s="279" t="s">
        <v>227</v>
      </c>
      <c r="L624" s="284"/>
      <c r="M624" s="285"/>
      <c r="N624" s="280" t="s">
        <v>318</v>
      </c>
      <c r="O624" s="279">
        <v>235</v>
      </c>
      <c r="P624" s="279" t="s">
        <v>311</v>
      </c>
      <c r="Q624" s="286" t="s">
        <v>229</v>
      </c>
      <c r="R624" s="287">
        <v>2050</v>
      </c>
      <c r="S624" s="287">
        <v>2340</v>
      </c>
      <c r="T624" s="283" t="s">
        <v>232</v>
      </c>
      <c r="U624" s="287" t="s">
        <v>76</v>
      </c>
      <c r="V624" s="247" t="str">
        <f>VLOOKUP(E624,Лист4!A$2:G$395,7,FALSE)</f>
        <v>картон до 250</v>
      </c>
      <c r="W624" s="247">
        <f>IF(ISNA(V624),VLOOKUP(E624,категория!A$42:C$74,3,),6.94+R624*8.333/VLOOKUP(V624,категория!A$42:C$74,2,))</f>
        <v>12.116560606060606</v>
      </c>
    </row>
    <row r="625" spans="1:23" ht="15.75">
      <c r="A625" s="277">
        <v>43854.711805555555</v>
      </c>
      <c r="B625" s="277">
        <v>43854.715277777781</v>
      </c>
      <c r="C625" s="277">
        <f t="shared" si="29"/>
        <v>3.4722222262644209E-3</v>
      </c>
      <c r="D625" s="278">
        <v>3.472222222222222E-3</v>
      </c>
      <c r="E625" s="329" t="s">
        <v>170</v>
      </c>
      <c r="F625" s="330"/>
      <c r="G625" s="330"/>
      <c r="H625" s="330"/>
      <c r="I625" s="330"/>
      <c r="J625" s="330"/>
      <c r="K625" s="330"/>
      <c r="L625" s="330"/>
      <c r="M625" s="330"/>
      <c r="N625" s="330"/>
      <c r="O625" s="330"/>
      <c r="P625" s="330"/>
      <c r="Q625" s="330"/>
      <c r="R625" s="330"/>
      <c r="S625" s="330"/>
      <c r="T625" s="330"/>
      <c r="U625" s="331"/>
      <c r="V625" s="247" t="e">
        <f>VLOOKUP(E625,Лист4!A$2:G$395,7,FALSE)</f>
        <v>#N/A</v>
      </c>
      <c r="W625" s="247">
        <f>IF(ISNA(V625),VLOOKUP(E625,категория!A$42:C$74,3,),6.94+R625*8.333/VLOOKUP(V625,категория!A$42:C$74,2,))</f>
        <v>2.085</v>
      </c>
    </row>
    <row r="626" spans="1:23" ht="15.75">
      <c r="A626" s="277">
        <v>43854.715277777781</v>
      </c>
      <c r="B626" s="277">
        <v>43854.729166666664</v>
      </c>
      <c r="C626" s="277">
        <f t="shared" si="29"/>
        <v>1.3888888883229811E-2</v>
      </c>
      <c r="D626" s="278">
        <v>3.472222222222222E-3</v>
      </c>
      <c r="E626" s="329" t="s">
        <v>24</v>
      </c>
      <c r="F626" s="330"/>
      <c r="G626" s="330"/>
      <c r="H626" s="330"/>
      <c r="I626" s="330"/>
      <c r="J626" s="330"/>
      <c r="K626" s="330"/>
      <c r="L626" s="330"/>
      <c r="M626" s="330"/>
      <c r="N626" s="330"/>
      <c r="O626" s="330"/>
      <c r="P626" s="330"/>
      <c r="Q626" s="330"/>
      <c r="R626" s="330"/>
      <c r="S626" s="330"/>
      <c r="T626" s="330"/>
      <c r="U626" s="331"/>
      <c r="V626" s="247" t="e">
        <f>VLOOKUP(E626,Лист4!A$2:G$395,7,FALSE)</f>
        <v>#N/A</v>
      </c>
      <c r="W626" s="247">
        <f>IF(ISNA(V626),VLOOKUP(E626,категория!A$42:C$74,3,),6.94+R626*8.333/VLOOKUP(V626,категория!A$42:C$74,2,))</f>
        <v>3.47</v>
      </c>
    </row>
    <row r="627" spans="1:23" ht="15.75">
      <c r="A627" s="277">
        <v>43854.729166666664</v>
      </c>
      <c r="B627" s="277">
        <v>43854.770833333336</v>
      </c>
      <c r="C627" s="277">
        <f t="shared" si="29"/>
        <v>4.1666666671517305E-2</v>
      </c>
      <c r="D627" s="278">
        <v>4.1666666666666664E-2</v>
      </c>
      <c r="E627" s="329" t="s">
        <v>253</v>
      </c>
      <c r="F627" s="330"/>
      <c r="G627" s="330"/>
      <c r="H627" s="330"/>
      <c r="I627" s="330"/>
      <c r="J627" s="330"/>
      <c r="K627" s="330"/>
      <c r="L627" s="330"/>
      <c r="M627" s="330"/>
      <c r="N627" s="330"/>
      <c r="O627" s="330"/>
      <c r="P627" s="330"/>
      <c r="Q627" s="330"/>
      <c r="R627" s="330"/>
      <c r="S627" s="330"/>
      <c r="T627" s="330"/>
      <c r="U627" s="331"/>
      <c r="V627" s="247" t="e">
        <f>VLOOKUP(E627,Лист4!A$2:G$395,7,FALSE)</f>
        <v>#N/A</v>
      </c>
      <c r="W627" s="247">
        <v>8.3330000000000002</v>
      </c>
    </row>
    <row r="628" spans="1:23" ht="48">
      <c r="A628" s="277">
        <v>43854.770833333336</v>
      </c>
      <c r="B628" s="277">
        <v>43854.784722222219</v>
      </c>
      <c r="C628" s="277">
        <f t="shared" si="29"/>
        <v>1.3888888883229811E-2</v>
      </c>
      <c r="D628" s="278">
        <v>1.3888888888888888E-2</v>
      </c>
      <c r="E628" s="279">
        <v>167</v>
      </c>
      <c r="F628" s="280" t="s">
        <v>532</v>
      </c>
      <c r="G628" s="280" t="s">
        <v>534</v>
      </c>
      <c r="H628" s="281" t="s">
        <v>226</v>
      </c>
      <c r="I628" s="282">
        <v>43858</v>
      </c>
      <c r="J628" s="283"/>
      <c r="K628" s="279" t="s">
        <v>227</v>
      </c>
      <c r="L628" s="284"/>
      <c r="M628" s="285"/>
      <c r="N628" s="280" t="s">
        <v>318</v>
      </c>
      <c r="O628" s="279">
        <v>235</v>
      </c>
      <c r="P628" s="279" t="s">
        <v>311</v>
      </c>
      <c r="Q628" s="286" t="s">
        <v>229</v>
      </c>
      <c r="R628" s="287">
        <v>2050</v>
      </c>
      <c r="S628" s="287">
        <v>2290</v>
      </c>
      <c r="T628" s="283" t="s">
        <v>232</v>
      </c>
      <c r="U628" s="287" t="s">
        <v>76</v>
      </c>
      <c r="V628" s="247" t="str">
        <f>VLOOKUP(E628,Лист4!A$2:G$395,7,FALSE)</f>
        <v>картон до 250</v>
      </c>
      <c r="W628" s="247">
        <f>IF(ISNA(V628),VLOOKUP(E628,категория!A$42:C$74,3,),6.94+R628*8.333/VLOOKUP(V628,категория!A$42:C$74,2,))</f>
        <v>12.116560606060606</v>
      </c>
    </row>
    <row r="629" spans="1:23" ht="15.75">
      <c r="A629" s="277">
        <v>43854.784722222219</v>
      </c>
      <c r="B629" s="277">
        <v>43854.788194444445</v>
      </c>
      <c r="C629" s="277">
        <f t="shared" si="29"/>
        <v>3.4722222262644209E-3</v>
      </c>
      <c r="D629" s="278">
        <v>3.472222222222222E-3</v>
      </c>
      <c r="E629" s="329" t="s">
        <v>170</v>
      </c>
      <c r="F629" s="330"/>
      <c r="G629" s="330"/>
      <c r="H629" s="330"/>
      <c r="I629" s="330"/>
      <c r="J629" s="330"/>
      <c r="K629" s="330"/>
      <c r="L629" s="330"/>
      <c r="M629" s="330"/>
      <c r="N629" s="330"/>
      <c r="O629" s="330"/>
      <c r="P629" s="330"/>
      <c r="Q629" s="330"/>
      <c r="R629" s="330"/>
      <c r="S629" s="330"/>
      <c r="T629" s="330"/>
      <c r="U629" s="331"/>
      <c r="V629" s="247" t="e">
        <f>VLOOKUP(E629,Лист4!A$2:G$395,7,FALSE)</f>
        <v>#N/A</v>
      </c>
      <c r="W629" s="247">
        <f>IF(ISNA(V629),VLOOKUP(E629,категория!A$42:C$74,3,),6.94+R629*8.333/VLOOKUP(V629,категория!A$42:C$74,2,))</f>
        <v>2.085</v>
      </c>
    </row>
    <row r="630" spans="1:23" ht="15.75">
      <c r="A630" s="277">
        <v>43854.788194444445</v>
      </c>
      <c r="B630" s="277">
        <v>43854.833333333336</v>
      </c>
      <c r="C630" s="277">
        <f t="shared" si="29"/>
        <v>4.5138888890505768E-2</v>
      </c>
      <c r="D630" s="278">
        <v>4.1666666666666664E-2</v>
      </c>
      <c r="E630" s="329" t="s">
        <v>7</v>
      </c>
      <c r="F630" s="330"/>
      <c r="G630" s="330"/>
      <c r="H630" s="330"/>
      <c r="I630" s="330"/>
      <c r="J630" s="330"/>
      <c r="K630" s="330"/>
      <c r="L630" s="330"/>
      <c r="M630" s="330"/>
      <c r="N630" s="330"/>
      <c r="O630" s="330"/>
      <c r="P630" s="330"/>
      <c r="Q630" s="330"/>
      <c r="R630" s="330"/>
      <c r="S630" s="330"/>
      <c r="T630" s="330"/>
      <c r="U630" s="331"/>
      <c r="V630" s="247" t="e">
        <f>VLOOKUP(E630,Лист4!A$2:G$395,7,FALSE)</f>
        <v>#N/A</v>
      </c>
      <c r="W630" s="247">
        <f>IF(ISNA(V630),VLOOKUP(E630,категория!A$42:C$74,3,),6.94+R630*8.333/VLOOKUP(V630,категория!A$42:C$74,2,))</f>
        <v>8.3332999999999995</v>
      </c>
    </row>
    <row r="631" spans="1:23" ht="15.75">
      <c r="A631" s="288">
        <v>43854.833333333336</v>
      </c>
      <c r="B631" s="332" t="s">
        <v>535</v>
      </c>
      <c r="C631" s="333"/>
      <c r="D631" s="334"/>
      <c r="E631" s="334"/>
      <c r="F631" s="334"/>
      <c r="G631" s="334"/>
      <c r="H631" s="334"/>
      <c r="I631" s="334"/>
      <c r="J631" s="334"/>
      <c r="K631" s="334"/>
      <c r="L631" s="334"/>
      <c r="M631" s="334"/>
      <c r="N631" s="334"/>
      <c r="O631" s="334"/>
      <c r="P631" s="334"/>
      <c r="Q631" s="334"/>
      <c r="R631" s="334"/>
      <c r="S631" s="334"/>
      <c r="T631" s="334"/>
      <c r="U631" s="335"/>
      <c r="V631" s="247" t="e">
        <f>VLOOKUP(E631,Лист4!A$2:G$395,7,FALSE)</f>
        <v>#N/A</v>
      </c>
      <c r="W631" s="52">
        <f>SUM(W606:W630)</f>
        <v>156.62407254545454</v>
      </c>
    </row>
    <row r="632" spans="1:23" ht="15.75">
      <c r="A632" s="277">
        <v>43854.833333333336</v>
      </c>
      <c r="B632" s="277">
        <v>43854.854166666664</v>
      </c>
      <c r="C632" s="277">
        <f>B632-A632</f>
        <v>2.0833333328482695E-2</v>
      </c>
      <c r="D632" s="278">
        <v>2.0833333333333332E-2</v>
      </c>
      <c r="E632" s="329" t="s">
        <v>22</v>
      </c>
      <c r="F632" s="330"/>
      <c r="G632" s="330"/>
      <c r="H632" s="330"/>
      <c r="I632" s="330"/>
      <c r="J632" s="330"/>
      <c r="K632" s="330"/>
      <c r="L632" s="330"/>
      <c r="M632" s="330"/>
      <c r="N632" s="330"/>
      <c r="O632" s="330"/>
      <c r="P632" s="330"/>
      <c r="Q632" s="330"/>
      <c r="R632" s="330"/>
      <c r="S632" s="330"/>
      <c r="T632" s="330"/>
      <c r="U632" s="331"/>
      <c r="V632" s="247" t="e">
        <f>VLOOKUP(E632,Лист4!A$2:G$395,7,FALSE)</f>
        <v>#N/A</v>
      </c>
      <c r="W632" s="247">
        <f>IF(ISNA(V632),VLOOKUP(E632,категория!A$42:C$74,3,),6.94+R632*8.333/VLOOKUP(V632,категория!A$42:C$74,2,))</f>
        <v>4.17</v>
      </c>
    </row>
    <row r="633" spans="1:23" ht="15.75">
      <c r="A633" s="277">
        <v>43854.854166666664</v>
      </c>
      <c r="B633" s="277">
        <v>43854.916666666664</v>
      </c>
      <c r="C633" s="277">
        <f t="shared" ref="C633:C653" si="30">B633-A633</f>
        <v>6.25E-2</v>
      </c>
      <c r="D633" s="278">
        <v>4.1666666666666664E-2</v>
      </c>
      <c r="E633" s="329" t="s">
        <v>28</v>
      </c>
      <c r="F633" s="330"/>
      <c r="G633" s="330"/>
      <c r="H633" s="330"/>
      <c r="I633" s="330"/>
      <c r="J633" s="330"/>
      <c r="K633" s="330"/>
      <c r="L633" s="330"/>
      <c r="M633" s="330"/>
      <c r="N633" s="330"/>
      <c r="O633" s="330"/>
      <c r="P633" s="330"/>
      <c r="Q633" s="330"/>
      <c r="R633" s="330"/>
      <c r="S633" s="330"/>
      <c r="T633" s="330"/>
      <c r="U633" s="331"/>
      <c r="V633" s="247" t="e">
        <f>VLOOKUP(E633,Лист4!A$2:G$395,7,FALSE)</f>
        <v>#N/A</v>
      </c>
      <c r="W633" s="247">
        <f>IF(ISNA(V633),VLOOKUP(E633,категория!A$42:C$74,3,),6.94+R633*8.333/VLOOKUP(V633,категория!A$42:C$74,2,))*1.5</f>
        <v>12.499949999999998</v>
      </c>
    </row>
    <row r="634" spans="1:23" ht="108">
      <c r="A634" s="277">
        <v>43854.916666666664</v>
      </c>
      <c r="B634" s="277">
        <v>43854.947916666664</v>
      </c>
      <c r="C634" s="277">
        <f t="shared" si="30"/>
        <v>3.125E-2</v>
      </c>
      <c r="D634" s="278">
        <v>3.125E-2</v>
      </c>
      <c r="E634" s="279">
        <v>196</v>
      </c>
      <c r="F634" s="280" t="s">
        <v>271</v>
      </c>
      <c r="G634" s="280" t="s">
        <v>530</v>
      </c>
      <c r="H634" s="281" t="s">
        <v>226</v>
      </c>
      <c r="I634" s="282">
        <v>43857</v>
      </c>
      <c r="J634" s="283"/>
      <c r="K634" s="279" t="s">
        <v>227</v>
      </c>
      <c r="L634" s="284"/>
      <c r="M634" s="285"/>
      <c r="N634" s="280" t="s">
        <v>35</v>
      </c>
      <c r="O634" s="279">
        <v>230</v>
      </c>
      <c r="P634" s="279" t="s">
        <v>236</v>
      </c>
      <c r="Q634" s="286" t="s">
        <v>229</v>
      </c>
      <c r="R634" s="287">
        <v>1100</v>
      </c>
      <c r="S634" s="287">
        <v>1322</v>
      </c>
      <c r="T634" s="283"/>
      <c r="U634" s="287" t="s">
        <v>230</v>
      </c>
      <c r="V634" s="247" t="str">
        <f>VLOOKUP(E634,Лист4!A$2:G$395,7,FALSE)</f>
        <v>картон от 270</v>
      </c>
      <c r="W634" s="247">
        <f>IF(ISNA(V634),VLOOKUP(E634,категория!A$42:C$74,3,),6.94+R634*8.333/VLOOKUP(V634,категория!A$42:C$74,2,))</f>
        <v>10.100793103448277</v>
      </c>
    </row>
    <row r="635" spans="1:23" ht="15.75">
      <c r="A635" s="277">
        <v>43854.947916666664</v>
      </c>
      <c r="B635" s="277">
        <v>43854.958333333336</v>
      </c>
      <c r="C635" s="277">
        <f t="shared" si="30"/>
        <v>1.0416666671517305E-2</v>
      </c>
      <c r="D635" s="278">
        <v>1.0416666666666666E-2</v>
      </c>
      <c r="E635" s="329" t="s">
        <v>170</v>
      </c>
      <c r="F635" s="330"/>
      <c r="G635" s="330"/>
      <c r="H635" s="330"/>
      <c r="I635" s="330"/>
      <c r="J635" s="330"/>
      <c r="K635" s="330"/>
      <c r="L635" s="330"/>
      <c r="M635" s="330"/>
      <c r="N635" s="330"/>
      <c r="O635" s="330"/>
      <c r="P635" s="330"/>
      <c r="Q635" s="330"/>
      <c r="R635" s="330"/>
      <c r="S635" s="330"/>
      <c r="T635" s="330"/>
      <c r="U635" s="331"/>
      <c r="V635" s="247" t="e">
        <f>VLOOKUP(E635,Лист4!A$2:G$395,7,FALSE)</f>
        <v>#N/A</v>
      </c>
      <c r="W635" s="247">
        <f>IF(ISNA(V635),VLOOKUP(E635,категория!A$42:C$74,3,),6.94+R635*8.333/VLOOKUP(V635,категория!A$42:C$74,2,))</f>
        <v>2.085</v>
      </c>
    </row>
    <row r="636" spans="1:23" ht="15.75">
      <c r="A636" s="277">
        <v>43854.958333333336</v>
      </c>
      <c r="B636" s="277">
        <v>43854.979166666664</v>
      </c>
      <c r="C636" s="277">
        <f t="shared" si="30"/>
        <v>2.0833333328482695E-2</v>
      </c>
      <c r="D636" s="278">
        <v>2.0833333333333332E-2</v>
      </c>
      <c r="E636" s="329" t="s">
        <v>23</v>
      </c>
      <c r="F636" s="330"/>
      <c r="G636" s="330"/>
      <c r="H636" s="330"/>
      <c r="I636" s="330"/>
      <c r="J636" s="330"/>
      <c r="K636" s="330"/>
      <c r="L636" s="330"/>
      <c r="M636" s="330"/>
      <c r="N636" s="330"/>
      <c r="O636" s="330"/>
      <c r="P636" s="330"/>
      <c r="Q636" s="330"/>
      <c r="R636" s="330"/>
      <c r="S636" s="330"/>
      <c r="T636" s="330"/>
      <c r="U636" s="331"/>
      <c r="V636" s="247" t="e">
        <f>VLOOKUP(E636,Лист4!A$2:G$395,7,FALSE)</f>
        <v>#N/A</v>
      </c>
      <c r="W636" s="247">
        <f>IF(ISNA(V636),VLOOKUP(E636,категория!A$42:C$74,3,),6.94+R636*8.333/VLOOKUP(V636,категория!A$42:C$74,2,))</f>
        <v>2.78</v>
      </c>
    </row>
    <row r="637" spans="1:23" ht="15.75">
      <c r="A637" s="277">
        <v>43854.979166666664</v>
      </c>
      <c r="B637" s="277">
        <v>43855</v>
      </c>
      <c r="C637" s="277">
        <f t="shared" si="30"/>
        <v>2.0833333335758653E-2</v>
      </c>
      <c r="D637" s="278">
        <v>4.1666666666666664E-2</v>
      </c>
      <c r="E637" s="329" t="s">
        <v>28</v>
      </c>
      <c r="F637" s="330"/>
      <c r="G637" s="330"/>
      <c r="H637" s="330"/>
      <c r="I637" s="330"/>
      <c r="J637" s="330"/>
      <c r="K637" s="330"/>
      <c r="L637" s="330"/>
      <c r="M637" s="330"/>
      <c r="N637" s="330"/>
      <c r="O637" s="330"/>
      <c r="P637" s="330"/>
      <c r="Q637" s="330"/>
      <c r="R637" s="330"/>
      <c r="S637" s="330"/>
      <c r="T637" s="330"/>
      <c r="U637" s="331"/>
      <c r="V637" s="247" t="e">
        <f>VLOOKUP(E637,Лист4!A$2:G$395,7,FALSE)</f>
        <v>#N/A</v>
      </c>
      <c r="W637" s="247">
        <f>IF(ISNA(V637),VLOOKUP(E637,категория!A$42:C$74,3,),6.94+R637*8.333/VLOOKUP(V637,категория!A$42:C$74,2,))*0.5</f>
        <v>4.1666499999999997</v>
      </c>
    </row>
    <row r="638" spans="1:23" ht="48">
      <c r="A638" s="277">
        <v>43855</v>
      </c>
      <c r="B638" s="277">
        <v>43855.020833333336</v>
      </c>
      <c r="C638" s="277">
        <f t="shared" si="30"/>
        <v>2.0833333335758653E-2</v>
      </c>
      <c r="D638" s="278">
        <v>2.0833333333333332E-2</v>
      </c>
      <c r="E638" s="279">
        <v>126</v>
      </c>
      <c r="F638" s="280" t="s">
        <v>234</v>
      </c>
      <c r="G638" s="280" t="s">
        <v>536</v>
      </c>
      <c r="H638" s="281" t="s">
        <v>251</v>
      </c>
      <c r="I638" s="282">
        <v>43853</v>
      </c>
      <c r="J638" s="283"/>
      <c r="K638" s="279" t="s">
        <v>238</v>
      </c>
      <c r="L638" s="284"/>
      <c r="M638" s="285"/>
      <c r="N638" s="280" t="s">
        <v>38</v>
      </c>
      <c r="O638" s="279">
        <v>80</v>
      </c>
      <c r="P638" s="279" t="s">
        <v>228</v>
      </c>
      <c r="Q638" s="286" t="s">
        <v>229</v>
      </c>
      <c r="R638" s="287">
        <v>750</v>
      </c>
      <c r="S638" s="287">
        <v>1410</v>
      </c>
      <c r="T638" s="283"/>
      <c r="U638" s="287" t="s">
        <v>230</v>
      </c>
      <c r="V638" s="247" t="str">
        <f>VLOOKUP(E638,Лист4!A$2:G$395,7,FALSE)</f>
        <v>мел+офсет</v>
      </c>
      <c r="W638" s="247">
        <f>IF(ISNA(V638),VLOOKUP(E638,категория!A$42:C$74,3,),6.94+R638*8.333/VLOOKUP(V638,категория!A$42:C$74,2,))</f>
        <v>8.1899499999999996</v>
      </c>
    </row>
    <row r="639" spans="1:23" ht="15.75">
      <c r="A639" s="277">
        <v>43855.020833333336</v>
      </c>
      <c r="B639" s="277">
        <v>43855.041666666664</v>
      </c>
      <c r="C639" s="277">
        <f t="shared" si="30"/>
        <v>2.0833333328482695E-2</v>
      </c>
      <c r="D639" s="278">
        <v>3.472222222222222E-3</v>
      </c>
      <c r="E639" s="329" t="s">
        <v>237</v>
      </c>
      <c r="F639" s="330"/>
      <c r="G639" s="330"/>
      <c r="H639" s="330"/>
      <c r="I639" s="330"/>
      <c r="J639" s="330"/>
      <c r="K639" s="330"/>
      <c r="L639" s="330"/>
      <c r="M639" s="330"/>
      <c r="N639" s="330"/>
      <c r="O639" s="330"/>
      <c r="P639" s="330"/>
      <c r="Q639" s="330"/>
      <c r="R639" s="330"/>
      <c r="S639" s="330"/>
      <c r="T639" s="330"/>
      <c r="U639" s="331"/>
      <c r="V639" s="247" t="e">
        <f>VLOOKUP(E639,Лист4!A$2:G$395,7,FALSE)</f>
        <v>#N/A</v>
      </c>
      <c r="W639" s="247">
        <f>IF(ISNA(V639),VLOOKUP(E639,категория!A$42:C$74,3,),6.94+R639*8.333/VLOOKUP(V639,категория!A$42:C$74,2,))</f>
        <v>5.5553333333333335</v>
      </c>
    </row>
    <row r="640" spans="1:23" ht="48">
      <c r="A640" s="277">
        <v>43855.041666666664</v>
      </c>
      <c r="B640" s="277">
        <v>43855.0625</v>
      </c>
      <c r="C640" s="277">
        <f t="shared" si="30"/>
        <v>2.0833333335758653E-2</v>
      </c>
      <c r="D640" s="278">
        <v>2.0833333333333332E-2</v>
      </c>
      <c r="E640" s="279">
        <v>126</v>
      </c>
      <c r="F640" s="280" t="s">
        <v>234</v>
      </c>
      <c r="G640" s="280" t="s">
        <v>536</v>
      </c>
      <c r="H640" s="281" t="s">
        <v>252</v>
      </c>
      <c r="I640" s="282">
        <v>43853</v>
      </c>
      <c r="J640" s="283"/>
      <c r="K640" s="279" t="s">
        <v>321</v>
      </c>
      <c r="L640" s="284"/>
      <c r="M640" s="285"/>
      <c r="N640" s="280" t="s">
        <v>38</v>
      </c>
      <c r="O640" s="279">
        <v>80</v>
      </c>
      <c r="P640" s="279" t="s">
        <v>228</v>
      </c>
      <c r="Q640" s="286" t="s">
        <v>229</v>
      </c>
      <c r="R640" s="287">
        <v>750</v>
      </c>
      <c r="S640" s="287">
        <v>1410</v>
      </c>
      <c r="T640" s="283"/>
      <c r="U640" s="287" t="s">
        <v>230</v>
      </c>
      <c r="V640" s="247" t="str">
        <f>VLOOKUP(E640,Лист4!A$2:G$395,7,FALSE)</f>
        <v>мел+офсет</v>
      </c>
      <c r="W640" s="247">
        <f>IF(ISNA(V640),VLOOKUP(E640,категория!A$42:C$74,3,),6.94+R640*8.333/VLOOKUP(V640,категория!A$42:C$74,2,))</f>
        <v>8.1899499999999996</v>
      </c>
    </row>
    <row r="641" spans="1:23" ht="15.75">
      <c r="A641" s="277">
        <v>43855.0625</v>
      </c>
      <c r="B641" s="277">
        <v>43855.069444444445</v>
      </c>
      <c r="C641" s="277">
        <f t="shared" si="30"/>
        <v>6.9444444452528842E-3</v>
      </c>
      <c r="D641" s="278">
        <v>1.0416666666666666E-2</v>
      </c>
      <c r="E641" s="329" t="s">
        <v>170</v>
      </c>
      <c r="F641" s="330"/>
      <c r="G641" s="330"/>
      <c r="H641" s="330"/>
      <c r="I641" s="330"/>
      <c r="J641" s="330"/>
      <c r="K641" s="330"/>
      <c r="L641" s="330"/>
      <c r="M641" s="330"/>
      <c r="N641" s="330"/>
      <c r="O641" s="330"/>
      <c r="P641" s="330"/>
      <c r="Q641" s="330"/>
      <c r="R641" s="330"/>
      <c r="S641" s="330"/>
      <c r="T641" s="330"/>
      <c r="U641" s="331"/>
      <c r="V641" s="247" t="e">
        <f>VLOOKUP(E641,Лист4!A$2:G$395,7,FALSE)</f>
        <v>#N/A</v>
      </c>
      <c r="W641" s="247">
        <f>IF(ISNA(V641),VLOOKUP(E641,категория!A$42:C$74,3,),6.94+R641*8.333/VLOOKUP(V641,категория!A$42:C$74,2,))</f>
        <v>2.085</v>
      </c>
    </row>
    <row r="642" spans="1:23" ht="15.75">
      <c r="A642" s="277">
        <v>43855.069444444445</v>
      </c>
      <c r="B642" s="277">
        <v>43855.086805555555</v>
      </c>
      <c r="C642" s="277">
        <f t="shared" si="30"/>
        <v>1.7361111109494232E-2</v>
      </c>
      <c r="D642" s="278">
        <v>1.7361111111111112E-2</v>
      </c>
      <c r="E642" s="329" t="s">
        <v>3</v>
      </c>
      <c r="F642" s="330"/>
      <c r="G642" s="330"/>
      <c r="H642" s="330"/>
      <c r="I642" s="330"/>
      <c r="J642" s="330"/>
      <c r="K642" s="330"/>
      <c r="L642" s="330"/>
      <c r="M642" s="330"/>
      <c r="N642" s="330"/>
      <c r="O642" s="330"/>
      <c r="P642" s="330"/>
      <c r="Q642" s="330"/>
      <c r="R642" s="330"/>
      <c r="S642" s="330"/>
      <c r="T642" s="330"/>
      <c r="U642" s="331"/>
      <c r="V642" s="247" t="e">
        <f>VLOOKUP(E642,Лист4!A$2:G$395,7,FALSE)</f>
        <v>#N/A</v>
      </c>
      <c r="W642" s="247">
        <f>IF(ISNA(V642),VLOOKUP(E642,категория!A$42:C$74,3,),6.94+R642*8.333/VLOOKUP(V642,категория!A$42:C$74,2,))</f>
        <v>4.17</v>
      </c>
    </row>
    <row r="643" spans="1:23" ht="15.75">
      <c r="A643" s="277">
        <v>43855.086805555555</v>
      </c>
      <c r="B643" s="277">
        <v>43855.104166666664</v>
      </c>
      <c r="C643" s="277">
        <f t="shared" si="30"/>
        <v>1.7361111109494232E-2</v>
      </c>
      <c r="D643" s="278">
        <v>2.0833333333333332E-2</v>
      </c>
      <c r="E643" s="329" t="s">
        <v>8</v>
      </c>
      <c r="F643" s="330"/>
      <c r="G643" s="330"/>
      <c r="H643" s="330"/>
      <c r="I643" s="330"/>
      <c r="J643" s="330"/>
      <c r="K643" s="330"/>
      <c r="L643" s="330"/>
      <c r="M643" s="330"/>
      <c r="N643" s="330"/>
      <c r="O643" s="330"/>
      <c r="P643" s="330"/>
      <c r="Q643" s="330"/>
      <c r="R643" s="330"/>
      <c r="S643" s="330"/>
      <c r="T643" s="330"/>
      <c r="U643" s="331"/>
      <c r="V643" s="247" t="e">
        <f>VLOOKUP(E643,Лист4!A$2:G$395,7,FALSE)</f>
        <v>#N/A</v>
      </c>
      <c r="W643" s="247">
        <f>IF(ISNA(V643),VLOOKUP(E643,категория!A$42:C$74,3,),6.94+R643*8.333/VLOOKUP(V643,категория!A$42:C$74,2,))</f>
        <v>4.17</v>
      </c>
    </row>
    <row r="644" spans="1:23" ht="15.75">
      <c r="A644" s="277">
        <v>43855.104166666664</v>
      </c>
      <c r="B644" s="277">
        <v>43855.131944444445</v>
      </c>
      <c r="C644" s="277">
        <f t="shared" si="30"/>
        <v>2.7777777781011537E-2</v>
      </c>
      <c r="D644" s="278">
        <v>4.1666666666666664E-2</v>
      </c>
      <c r="E644" s="329" t="s">
        <v>28</v>
      </c>
      <c r="F644" s="330"/>
      <c r="G644" s="330"/>
      <c r="H644" s="330"/>
      <c r="I644" s="330"/>
      <c r="J644" s="330"/>
      <c r="K644" s="330"/>
      <c r="L644" s="330"/>
      <c r="M644" s="330"/>
      <c r="N644" s="330"/>
      <c r="O644" s="330"/>
      <c r="P644" s="330"/>
      <c r="Q644" s="330"/>
      <c r="R644" s="330"/>
      <c r="S644" s="330"/>
      <c r="T644" s="330"/>
      <c r="U644" s="331"/>
      <c r="V644" s="247" t="e">
        <f>VLOOKUP(E644,Лист4!A$2:G$395,7,FALSE)</f>
        <v>#N/A</v>
      </c>
      <c r="W644" s="247">
        <f>IF(ISNA(V644),VLOOKUP(E644,категория!A$42:C$74,3,),6.94+R644*8.333/VLOOKUP(V644,категория!A$42:C$74,2,))*0.6667</f>
        <v>5.5558111099999996</v>
      </c>
    </row>
    <row r="645" spans="1:23" ht="48">
      <c r="A645" s="277">
        <v>43855.131944444445</v>
      </c>
      <c r="B645" s="277">
        <v>43855.159722222219</v>
      </c>
      <c r="C645" s="277">
        <f t="shared" si="30"/>
        <v>2.7777777773735579E-2</v>
      </c>
      <c r="D645" s="278">
        <v>2.7777777777777776E-2</v>
      </c>
      <c r="E645" s="279">
        <v>126</v>
      </c>
      <c r="F645" s="280" t="s">
        <v>234</v>
      </c>
      <c r="G645" s="280" t="s">
        <v>536</v>
      </c>
      <c r="H645" s="281" t="s">
        <v>537</v>
      </c>
      <c r="I645" s="282">
        <v>43853</v>
      </c>
      <c r="J645" s="283"/>
      <c r="K645" s="279" t="s">
        <v>322</v>
      </c>
      <c r="L645" s="284" t="s">
        <v>232</v>
      </c>
      <c r="M645" s="285"/>
      <c r="N645" s="280" t="s">
        <v>38</v>
      </c>
      <c r="O645" s="279">
        <v>0</v>
      </c>
      <c r="P645" s="279" t="s">
        <v>228</v>
      </c>
      <c r="Q645" s="286" t="s">
        <v>241</v>
      </c>
      <c r="R645" s="287">
        <v>1100</v>
      </c>
      <c r="S645" s="287">
        <v>617</v>
      </c>
      <c r="T645" s="283"/>
      <c r="U645" s="287" t="s">
        <v>230</v>
      </c>
      <c r="V645" s="247" t="str">
        <f>VLOOKUP(E645,Лист4!A$2:G$395,7,FALSE)</f>
        <v>мел+офсет</v>
      </c>
      <c r="W645" s="247">
        <f>IF(ISNA(V645),VLOOKUP(E645,категория!A$42:C$74,3,),6.94+R645*8.333/VLOOKUP(V645,категория!A$42:C$74,2,))</f>
        <v>8.7732600000000005</v>
      </c>
    </row>
    <row r="646" spans="1:23" ht="15.75">
      <c r="A646" s="277">
        <v>43855.159722222219</v>
      </c>
      <c r="B646" s="277">
        <v>43855.166666666664</v>
      </c>
      <c r="C646" s="277">
        <f t="shared" si="30"/>
        <v>6.9444444452528842E-3</v>
      </c>
      <c r="D646" s="278">
        <v>6.9444444444444441E-3</v>
      </c>
      <c r="E646" s="329" t="s">
        <v>170</v>
      </c>
      <c r="F646" s="330"/>
      <c r="G646" s="330"/>
      <c r="H646" s="330"/>
      <c r="I646" s="330"/>
      <c r="J646" s="330"/>
      <c r="K646" s="330"/>
      <c r="L646" s="330"/>
      <c r="M646" s="330"/>
      <c r="N646" s="330"/>
      <c r="O646" s="330"/>
      <c r="P646" s="330"/>
      <c r="Q646" s="330"/>
      <c r="R646" s="330"/>
      <c r="S646" s="330"/>
      <c r="T646" s="330"/>
      <c r="U646" s="331"/>
      <c r="V646" s="247" t="e">
        <f>VLOOKUP(E646,Лист4!A$2:G$395,7,FALSE)</f>
        <v>#N/A</v>
      </c>
      <c r="W646" s="247">
        <f>IF(ISNA(V646),VLOOKUP(E646,категория!A$42:C$74,3,),6.94+R646*8.333/VLOOKUP(V646,категория!A$42:C$74,2,))</f>
        <v>2.085</v>
      </c>
    </row>
    <row r="647" spans="1:23" ht="15.75">
      <c r="A647" s="277">
        <v>43855.166666666664</v>
      </c>
      <c r="B647" s="277">
        <v>43855.173611111109</v>
      </c>
      <c r="C647" s="277">
        <f t="shared" si="30"/>
        <v>6.9444444452528842E-3</v>
      </c>
      <c r="D647" s="278">
        <v>6.9444444444444441E-3</v>
      </c>
      <c r="E647" s="329" t="s">
        <v>237</v>
      </c>
      <c r="F647" s="330"/>
      <c r="G647" s="330"/>
      <c r="H647" s="330"/>
      <c r="I647" s="330"/>
      <c r="J647" s="330"/>
      <c r="K647" s="330"/>
      <c r="L647" s="330"/>
      <c r="M647" s="330"/>
      <c r="N647" s="330"/>
      <c r="O647" s="330"/>
      <c r="P647" s="330"/>
      <c r="Q647" s="330"/>
      <c r="R647" s="330"/>
      <c r="S647" s="330"/>
      <c r="T647" s="330"/>
      <c r="U647" s="331"/>
      <c r="V647" s="247" t="e">
        <f>VLOOKUP(E647,Лист4!A$2:G$395,7,FALSE)</f>
        <v>#N/A</v>
      </c>
      <c r="W647" s="247">
        <f>IF(ISNA(V647),VLOOKUP(E647,категория!A$42:C$74,3,),6.94+R647*8.333/VLOOKUP(V647,категория!A$42:C$74,2,))</f>
        <v>5.5553333333333335</v>
      </c>
    </row>
    <row r="648" spans="1:23" ht="48">
      <c r="A648" s="277">
        <v>43855.173611111109</v>
      </c>
      <c r="B648" s="277">
        <v>43855.194444444445</v>
      </c>
      <c r="C648" s="277">
        <f t="shared" si="30"/>
        <v>2.0833333335758653E-2</v>
      </c>
      <c r="D648" s="278">
        <v>2.0833333333333332E-2</v>
      </c>
      <c r="E648" s="279">
        <v>126</v>
      </c>
      <c r="F648" s="280" t="s">
        <v>234</v>
      </c>
      <c r="G648" s="280" t="s">
        <v>536</v>
      </c>
      <c r="H648" s="281" t="s">
        <v>538</v>
      </c>
      <c r="I648" s="282">
        <v>43853</v>
      </c>
      <c r="J648" s="283"/>
      <c r="K648" s="279" t="s">
        <v>323</v>
      </c>
      <c r="L648" s="284" t="s">
        <v>232</v>
      </c>
      <c r="M648" s="285"/>
      <c r="N648" s="280" t="s">
        <v>38</v>
      </c>
      <c r="O648" s="279">
        <v>0</v>
      </c>
      <c r="P648" s="279" t="s">
        <v>228</v>
      </c>
      <c r="Q648" s="286" t="s">
        <v>241</v>
      </c>
      <c r="R648" s="287">
        <v>1050</v>
      </c>
      <c r="S648" s="287">
        <v>463</v>
      </c>
      <c r="T648" s="283"/>
      <c r="U648" s="287" t="s">
        <v>230</v>
      </c>
      <c r="V648" s="247" t="str">
        <f>VLOOKUP(E648,Лист4!A$2:G$395,7,FALSE)</f>
        <v>мел+офсет</v>
      </c>
      <c r="W648" s="247">
        <f>IF(ISNA(V648),VLOOKUP(E648,категория!A$42:C$74,3,),6.94+R648*8.333/VLOOKUP(V648,категория!A$42:C$74,2,))</f>
        <v>8.6899300000000004</v>
      </c>
    </row>
    <row r="649" spans="1:23" ht="15.75">
      <c r="A649" s="277">
        <v>43855.194444444445</v>
      </c>
      <c r="B649" s="277">
        <v>43855.201388888891</v>
      </c>
      <c r="C649" s="277">
        <f t="shared" si="30"/>
        <v>6.9444444452528842E-3</v>
      </c>
      <c r="D649" s="278">
        <v>1.0416666666666666E-2</v>
      </c>
      <c r="E649" s="329" t="s">
        <v>170</v>
      </c>
      <c r="F649" s="330"/>
      <c r="G649" s="330"/>
      <c r="H649" s="330"/>
      <c r="I649" s="330"/>
      <c r="J649" s="330"/>
      <c r="K649" s="330"/>
      <c r="L649" s="330"/>
      <c r="M649" s="330"/>
      <c r="N649" s="330"/>
      <c r="O649" s="330"/>
      <c r="P649" s="330"/>
      <c r="Q649" s="330"/>
      <c r="R649" s="330"/>
      <c r="S649" s="330"/>
      <c r="T649" s="330"/>
      <c r="U649" s="331"/>
      <c r="V649" s="247" t="e">
        <f>VLOOKUP(E649,Лист4!A$2:G$395,7,FALSE)</f>
        <v>#N/A</v>
      </c>
      <c r="W649" s="247">
        <f>IF(ISNA(V649),VLOOKUP(E649,категория!A$42:C$74,3,),6.94+R649*8.333/VLOOKUP(V649,категория!A$42:C$74,2,))</f>
        <v>2.085</v>
      </c>
    </row>
    <row r="650" spans="1:23" ht="15.75">
      <c r="A650" s="277">
        <v>43855.201388888891</v>
      </c>
      <c r="B650" s="277">
        <v>43855.236111111109</v>
      </c>
      <c r="C650" s="277">
        <f t="shared" si="30"/>
        <v>3.4722222218988463E-2</v>
      </c>
      <c r="D650" s="278">
        <v>3.4722222222222224E-2</v>
      </c>
      <c r="E650" s="329" t="s">
        <v>16</v>
      </c>
      <c r="F650" s="330"/>
      <c r="G650" s="330"/>
      <c r="H650" s="330"/>
      <c r="I650" s="330"/>
      <c r="J650" s="330"/>
      <c r="K650" s="330"/>
      <c r="L650" s="330"/>
      <c r="M650" s="330"/>
      <c r="N650" s="330"/>
      <c r="O650" s="330"/>
      <c r="P650" s="330"/>
      <c r="Q650" s="330"/>
      <c r="R650" s="330"/>
      <c r="S650" s="330"/>
      <c r="T650" s="330"/>
      <c r="U650" s="331"/>
      <c r="V650" s="247" t="e">
        <f>VLOOKUP(E650,Лист4!A$2:G$395,7,FALSE)</f>
        <v>#N/A</v>
      </c>
      <c r="W650" s="247">
        <f>IF(ISNA(V650),VLOOKUP(E650,категория!A$42:C$74,3,),6.94+R650*8.333/VLOOKUP(V650,категория!A$42:C$74,2,))</f>
        <v>8.3330000000000002</v>
      </c>
    </row>
    <row r="651" spans="1:23" ht="15.75">
      <c r="A651" s="277">
        <v>43855.236111111109</v>
      </c>
      <c r="B651" s="277">
        <v>43855.25</v>
      </c>
      <c r="C651" s="277">
        <f t="shared" si="30"/>
        <v>1.3888888890505768E-2</v>
      </c>
      <c r="D651" s="278">
        <v>2.0833333333333332E-2</v>
      </c>
      <c r="E651" s="329" t="s">
        <v>8</v>
      </c>
      <c r="F651" s="330"/>
      <c r="G651" s="330"/>
      <c r="H651" s="330"/>
      <c r="I651" s="330"/>
      <c r="J651" s="330"/>
      <c r="K651" s="330"/>
      <c r="L651" s="330"/>
      <c r="M651" s="330"/>
      <c r="N651" s="330"/>
      <c r="O651" s="330"/>
      <c r="P651" s="330"/>
      <c r="Q651" s="330"/>
      <c r="R651" s="330"/>
      <c r="S651" s="330"/>
      <c r="T651" s="330"/>
      <c r="U651" s="331"/>
      <c r="V651" s="247" t="e">
        <f>VLOOKUP(E651,Лист4!A$2:G$395,7,FALSE)</f>
        <v>#N/A</v>
      </c>
      <c r="W651" s="247">
        <f>IF(ISNA(V651),VLOOKUP(E651,категория!A$42:C$74,3,),6.94+R651*8.333/VLOOKUP(V651,категория!A$42:C$74,2,))</f>
        <v>4.17</v>
      </c>
    </row>
    <row r="652" spans="1:23" ht="15.75">
      <c r="A652" s="277">
        <v>43855.25</v>
      </c>
      <c r="B652" s="277">
        <v>43855.270833333336</v>
      </c>
      <c r="C652" s="277">
        <f t="shared" si="30"/>
        <v>2.0833333335758653E-2</v>
      </c>
      <c r="D652" s="278">
        <v>3.472222222222222E-3</v>
      </c>
      <c r="E652" s="329" t="s">
        <v>24</v>
      </c>
      <c r="F652" s="330"/>
      <c r="G652" s="330"/>
      <c r="H652" s="330"/>
      <c r="I652" s="330"/>
      <c r="J652" s="330"/>
      <c r="K652" s="330"/>
      <c r="L652" s="330"/>
      <c r="M652" s="330"/>
      <c r="N652" s="330"/>
      <c r="O652" s="330"/>
      <c r="P652" s="330"/>
      <c r="Q652" s="330"/>
      <c r="R652" s="330"/>
      <c r="S652" s="330"/>
      <c r="T652" s="330"/>
      <c r="U652" s="331"/>
      <c r="V652" s="247" t="e">
        <f>VLOOKUP(E652,Лист4!A$2:G$395,7,FALSE)</f>
        <v>#N/A</v>
      </c>
      <c r="W652" s="247">
        <f>IF(ISNA(V652),VLOOKUP(E652,категория!A$42:C$74,3,),6.94+R652*8.333/VLOOKUP(V652,категория!A$42:C$74,2,))</f>
        <v>3.47</v>
      </c>
    </row>
    <row r="653" spans="1:23" ht="15.75">
      <c r="A653" s="277">
        <v>43855.270833333336</v>
      </c>
      <c r="B653" s="277">
        <v>43855.333333333336</v>
      </c>
      <c r="C653" s="277">
        <f t="shared" si="30"/>
        <v>6.25E-2</v>
      </c>
      <c r="D653" s="278">
        <v>6.25E-2</v>
      </c>
      <c r="E653" s="329" t="s">
        <v>7</v>
      </c>
      <c r="F653" s="330"/>
      <c r="G653" s="330"/>
      <c r="H653" s="330"/>
      <c r="I653" s="330"/>
      <c r="J653" s="330"/>
      <c r="K653" s="330"/>
      <c r="L653" s="330"/>
      <c r="M653" s="330"/>
      <c r="N653" s="330"/>
      <c r="O653" s="330"/>
      <c r="P653" s="330"/>
      <c r="Q653" s="330"/>
      <c r="R653" s="330"/>
      <c r="S653" s="330"/>
      <c r="T653" s="330"/>
      <c r="U653" s="331"/>
      <c r="V653" s="247" t="e">
        <f>VLOOKUP(E653,Лист4!A$2:G$395,7,FALSE)</f>
        <v>#N/A</v>
      </c>
      <c r="W653" s="247">
        <f>IF(ISNA(V653),VLOOKUP(E653,категория!A$42:C$74,3,),6.94+R653*8.333/VLOOKUP(V653,категория!A$42:C$74,2,))*1.5</f>
        <v>12.499949999999998</v>
      </c>
    </row>
    <row r="654" spans="1:23" ht="15.75">
      <c r="A654" s="288">
        <v>43855.333333333336</v>
      </c>
      <c r="B654" s="332" t="s">
        <v>539</v>
      </c>
      <c r="C654" s="333"/>
      <c r="D654" s="334"/>
      <c r="E654" s="334"/>
      <c r="F654" s="334"/>
      <c r="G654" s="334"/>
      <c r="H654" s="334"/>
      <c r="I654" s="334"/>
      <c r="J654" s="334"/>
      <c r="K654" s="334"/>
      <c r="L654" s="334"/>
      <c r="M654" s="334"/>
      <c r="N654" s="334"/>
      <c r="O654" s="334"/>
      <c r="P654" s="334"/>
      <c r="Q654" s="334"/>
      <c r="R654" s="334"/>
      <c r="S654" s="334"/>
      <c r="T654" s="334"/>
      <c r="U654" s="335"/>
      <c r="V654" s="247" t="e">
        <f>VLOOKUP(E654,Лист4!A$2:G$395,7,FALSE)</f>
        <v>#N/A</v>
      </c>
      <c r="W654" s="52">
        <f>SUM(W632:W653)</f>
        <v>129.37991088011495</v>
      </c>
    </row>
    <row r="655" spans="1:23" ht="15.75">
      <c r="A655" s="277">
        <v>43855.333333333336</v>
      </c>
      <c r="B655" s="277">
        <v>43855.416666666664</v>
      </c>
      <c r="C655" s="277">
        <f>B655-A655</f>
        <v>8.3333333328482695E-2</v>
      </c>
      <c r="D655" s="278">
        <v>4.1666666666666664E-2</v>
      </c>
      <c r="E655" s="329" t="s">
        <v>28</v>
      </c>
      <c r="F655" s="330"/>
      <c r="G655" s="330"/>
      <c r="H655" s="330"/>
      <c r="I655" s="330"/>
      <c r="J655" s="330"/>
      <c r="K655" s="330"/>
      <c r="L655" s="330"/>
      <c r="M655" s="330"/>
      <c r="N655" s="330"/>
      <c r="O655" s="330"/>
      <c r="P655" s="330"/>
      <c r="Q655" s="330"/>
      <c r="R655" s="330"/>
      <c r="S655" s="330"/>
      <c r="T655" s="330"/>
      <c r="U655" s="331"/>
      <c r="V655" s="247" t="e">
        <f>VLOOKUP(E655,Лист4!A$2:G$395,7,FALSE)</f>
        <v>#N/A</v>
      </c>
      <c r="W655" s="247">
        <f>IF(ISNA(V655),VLOOKUP(E655,категория!A$42:C$74,3,),6.94+R655*8.333/VLOOKUP(V655,категория!A$42:C$74,2,))*2</f>
        <v>16.666599999999999</v>
      </c>
    </row>
    <row r="656" spans="1:23" ht="60">
      <c r="A656" s="277">
        <v>43855.416666666664</v>
      </c>
      <c r="B656" s="277">
        <v>43855.430555555555</v>
      </c>
      <c r="C656" s="277">
        <f t="shared" ref="C656:C672" si="31">B656-A656</f>
        <v>1.3888888890505768E-2</v>
      </c>
      <c r="D656" s="278">
        <v>1.3888888888888888E-2</v>
      </c>
      <c r="E656" s="279">
        <v>125</v>
      </c>
      <c r="F656" s="280" t="s">
        <v>234</v>
      </c>
      <c r="G656" s="280" t="s">
        <v>315</v>
      </c>
      <c r="H656" s="281" t="s">
        <v>226</v>
      </c>
      <c r="I656" s="282">
        <v>43853</v>
      </c>
      <c r="J656" s="283"/>
      <c r="K656" s="279" t="s">
        <v>269</v>
      </c>
      <c r="L656" s="284" t="s">
        <v>232</v>
      </c>
      <c r="M656" s="285"/>
      <c r="N656" s="280" t="s">
        <v>35</v>
      </c>
      <c r="O656" s="279">
        <v>235</v>
      </c>
      <c r="P656" s="279" t="s">
        <v>236</v>
      </c>
      <c r="Q656" s="286" t="s">
        <v>229</v>
      </c>
      <c r="R656" s="287">
        <v>1750</v>
      </c>
      <c r="S656" s="287">
        <v>1895</v>
      </c>
      <c r="T656" s="283" t="s">
        <v>232</v>
      </c>
      <c r="U656" s="287" t="s">
        <v>76</v>
      </c>
      <c r="V656" s="247" t="str">
        <f>VLOOKUP(E656,Лист4!A$2:G$395,7,FALSE)</f>
        <v>картон до 250</v>
      </c>
      <c r="W656" s="247">
        <f>IF(ISNA(V656),VLOOKUP(E656,категория!A$42:C$74,3,),6.94+R656*8.333/VLOOKUP(V656,категория!A$42:C$74,2,))</f>
        <v>11.359015151515152</v>
      </c>
    </row>
    <row r="657" spans="1:23" ht="15.75">
      <c r="A657" s="277">
        <v>43855.430555555555</v>
      </c>
      <c r="B657" s="277">
        <v>43855.434027777781</v>
      </c>
      <c r="C657" s="277">
        <f t="shared" si="31"/>
        <v>3.4722222262644209E-3</v>
      </c>
      <c r="D657" s="278">
        <v>1.0416666666666666E-2</v>
      </c>
      <c r="E657" s="329" t="s">
        <v>170</v>
      </c>
      <c r="F657" s="330"/>
      <c r="G657" s="330"/>
      <c r="H657" s="330"/>
      <c r="I657" s="330"/>
      <c r="J657" s="330"/>
      <c r="K657" s="330"/>
      <c r="L657" s="330"/>
      <c r="M657" s="330"/>
      <c r="N657" s="330"/>
      <c r="O657" s="330"/>
      <c r="P657" s="330"/>
      <c r="Q657" s="330"/>
      <c r="R657" s="330"/>
      <c r="S657" s="330"/>
      <c r="T657" s="330"/>
      <c r="U657" s="331"/>
      <c r="V657" s="247" t="e">
        <f>VLOOKUP(E657,Лист4!A$2:G$395,7,FALSE)</f>
        <v>#N/A</v>
      </c>
      <c r="W657" s="247">
        <f>IF(ISNA(V657),VLOOKUP(E657,категория!A$42:C$74,3,),6.94+R657*8.333/VLOOKUP(V657,категория!A$42:C$74,2,))</f>
        <v>2.085</v>
      </c>
    </row>
    <row r="658" spans="1:23" ht="15.75">
      <c r="A658" s="277">
        <v>43855.434027777781</v>
      </c>
      <c r="B658" s="277">
        <v>43855.472222222219</v>
      </c>
      <c r="C658" s="277">
        <f t="shared" si="31"/>
        <v>3.8194444437976927E-2</v>
      </c>
      <c r="D658" s="278">
        <v>3.8194444444444441E-2</v>
      </c>
      <c r="E658" s="329" t="s">
        <v>5</v>
      </c>
      <c r="F658" s="330"/>
      <c r="G658" s="330"/>
      <c r="H658" s="330"/>
      <c r="I658" s="330"/>
      <c r="J658" s="330"/>
      <c r="K658" s="330"/>
      <c r="L658" s="330"/>
      <c r="M658" s="330"/>
      <c r="N658" s="330"/>
      <c r="O658" s="330"/>
      <c r="P658" s="330"/>
      <c r="Q658" s="330"/>
      <c r="R658" s="330"/>
      <c r="S658" s="330"/>
      <c r="T658" s="330"/>
      <c r="U658" s="331"/>
      <c r="V658" s="247" t="e">
        <f>VLOOKUP(E658,Лист4!A$2:G$395,7,FALSE)</f>
        <v>#N/A</v>
      </c>
      <c r="W658" s="247">
        <f>IF(ISNA(V658),VLOOKUP(E658,категория!A$42:C$74,3,),6.94+R658*8.333/VLOOKUP(V658,категория!A$42:C$74,2,))</f>
        <v>10.43</v>
      </c>
    </row>
    <row r="659" spans="1:23" ht="15.75">
      <c r="A659" s="277">
        <v>43855.472222222219</v>
      </c>
      <c r="B659" s="277">
        <v>43855.486111111109</v>
      </c>
      <c r="C659" s="277">
        <f t="shared" si="31"/>
        <v>1.3888888890505768E-2</v>
      </c>
      <c r="D659" s="278">
        <v>2.0833333333333332E-2</v>
      </c>
      <c r="E659" s="329" t="s">
        <v>8</v>
      </c>
      <c r="F659" s="330"/>
      <c r="G659" s="330"/>
      <c r="H659" s="330"/>
      <c r="I659" s="330"/>
      <c r="J659" s="330"/>
      <c r="K659" s="330"/>
      <c r="L659" s="330"/>
      <c r="M659" s="330"/>
      <c r="N659" s="330"/>
      <c r="O659" s="330"/>
      <c r="P659" s="330"/>
      <c r="Q659" s="330"/>
      <c r="R659" s="330"/>
      <c r="S659" s="330"/>
      <c r="T659" s="330"/>
      <c r="U659" s="331"/>
      <c r="V659" s="247" t="e">
        <f>VLOOKUP(E659,Лист4!A$2:G$395,7,FALSE)</f>
        <v>#N/A</v>
      </c>
      <c r="W659" s="247">
        <f>IF(ISNA(V659),VLOOKUP(E659,категория!A$42:C$74,3,),6.94+R659*8.333/VLOOKUP(V659,категория!A$42:C$74,2,))</f>
        <v>4.17</v>
      </c>
    </row>
    <row r="660" spans="1:23" ht="15.75">
      <c r="A660" s="277">
        <v>43855.486111111109</v>
      </c>
      <c r="B660" s="277">
        <v>43855.5</v>
      </c>
      <c r="C660" s="277">
        <f t="shared" si="31"/>
        <v>1.3888888890505768E-2</v>
      </c>
      <c r="D660" s="278">
        <v>2.0833333333333332E-2</v>
      </c>
      <c r="E660" s="329" t="s">
        <v>2</v>
      </c>
      <c r="F660" s="330"/>
      <c r="G660" s="330"/>
      <c r="H660" s="330"/>
      <c r="I660" s="330"/>
      <c r="J660" s="330"/>
      <c r="K660" s="330"/>
      <c r="L660" s="330"/>
      <c r="M660" s="330"/>
      <c r="N660" s="330"/>
      <c r="O660" s="330"/>
      <c r="P660" s="330"/>
      <c r="Q660" s="330"/>
      <c r="R660" s="330"/>
      <c r="S660" s="330"/>
      <c r="T660" s="330"/>
      <c r="U660" s="331"/>
      <c r="V660" s="247" t="e">
        <f>VLOOKUP(E660,Лист4!A$2:G$395,7,FALSE)</f>
        <v>#N/A</v>
      </c>
      <c r="W660" s="247">
        <f>IF(ISNA(V660),VLOOKUP(E660,категория!A$42:C$74,3,),6.94+R660*8.333/VLOOKUP(V660,категория!A$42:C$74,2,))</f>
        <v>4.17</v>
      </c>
    </row>
    <row r="661" spans="1:23" ht="15.75">
      <c r="A661" s="277">
        <v>43855.5</v>
      </c>
      <c r="B661" s="277">
        <v>43855.520833333336</v>
      </c>
      <c r="C661" s="277">
        <f t="shared" si="31"/>
        <v>2.0833333335758653E-2</v>
      </c>
      <c r="D661" s="278">
        <v>2.0833333333333332E-2</v>
      </c>
      <c r="E661" s="329" t="s">
        <v>23</v>
      </c>
      <c r="F661" s="330"/>
      <c r="G661" s="330"/>
      <c r="H661" s="330"/>
      <c r="I661" s="330"/>
      <c r="J661" s="330"/>
      <c r="K661" s="330"/>
      <c r="L661" s="330"/>
      <c r="M661" s="330"/>
      <c r="N661" s="330"/>
      <c r="O661" s="330"/>
      <c r="P661" s="330"/>
      <c r="Q661" s="330"/>
      <c r="R661" s="330"/>
      <c r="S661" s="330"/>
      <c r="T661" s="330"/>
      <c r="U661" s="331"/>
      <c r="V661" s="247" t="e">
        <f>VLOOKUP(E661,Лист4!A$2:G$395,7,FALSE)</f>
        <v>#N/A</v>
      </c>
      <c r="W661" s="247">
        <f>IF(ISNA(V661),VLOOKUP(E661,категория!A$42:C$74,3,),6.94+R661*8.333/VLOOKUP(V661,категория!A$42:C$74,2,))</f>
        <v>2.78</v>
      </c>
    </row>
    <row r="662" spans="1:23" ht="15.75">
      <c r="A662" s="277">
        <v>43855.520833333336</v>
      </c>
      <c r="B662" s="277">
        <v>43855.534722222219</v>
      </c>
      <c r="C662" s="277">
        <f t="shared" si="31"/>
        <v>1.3888888883229811E-2</v>
      </c>
      <c r="D662" s="278">
        <v>1.3888888888888888E-2</v>
      </c>
      <c r="E662" s="329" t="s">
        <v>28</v>
      </c>
      <c r="F662" s="330"/>
      <c r="G662" s="330"/>
      <c r="H662" s="330"/>
      <c r="I662" s="330"/>
      <c r="J662" s="330"/>
      <c r="K662" s="330"/>
      <c r="L662" s="330"/>
      <c r="M662" s="330"/>
      <c r="N662" s="330"/>
      <c r="O662" s="330"/>
      <c r="P662" s="330"/>
      <c r="Q662" s="330"/>
      <c r="R662" s="330"/>
      <c r="S662" s="330"/>
      <c r="T662" s="330"/>
      <c r="U662" s="331"/>
      <c r="V662" s="247" t="e">
        <f>VLOOKUP(E662,Лист4!A$2:G$395,7,FALSE)</f>
        <v>#N/A</v>
      </c>
      <c r="W662" s="247">
        <f>IF(ISNA(V662),VLOOKUP(E662,категория!A$42:C$74,3,),6.94+R662*8.333/VLOOKUP(V662,категория!A$42:C$74,2,))*0.333</f>
        <v>2.7749888999999999</v>
      </c>
    </row>
    <row r="663" spans="1:23" ht="48">
      <c r="A663" s="277">
        <v>43855.534722222219</v>
      </c>
      <c r="B663" s="277">
        <v>43855.555555555555</v>
      </c>
      <c r="C663" s="277">
        <f t="shared" si="31"/>
        <v>2.0833333335758653E-2</v>
      </c>
      <c r="D663" s="278">
        <v>2.0833333333333332E-2</v>
      </c>
      <c r="E663" s="279">
        <v>113</v>
      </c>
      <c r="F663" s="280" t="s">
        <v>540</v>
      </c>
      <c r="G663" s="280" t="s">
        <v>541</v>
      </c>
      <c r="H663" s="281" t="s">
        <v>247</v>
      </c>
      <c r="I663" s="282">
        <v>43846</v>
      </c>
      <c r="J663" s="283"/>
      <c r="K663" s="279" t="s">
        <v>240</v>
      </c>
      <c r="L663" s="284"/>
      <c r="M663" s="285"/>
      <c r="N663" s="280" t="s">
        <v>41</v>
      </c>
      <c r="O663" s="279">
        <v>170</v>
      </c>
      <c r="P663" s="279" t="s">
        <v>236</v>
      </c>
      <c r="Q663" s="286" t="s">
        <v>229</v>
      </c>
      <c r="R663" s="287">
        <v>252</v>
      </c>
      <c r="S663" s="287">
        <v>560</v>
      </c>
      <c r="T663" s="283"/>
      <c r="U663" s="287" t="s">
        <v>76</v>
      </c>
      <c r="V663" s="247" t="str">
        <f>VLOOKUP(E663,Лист4!A$2:G$395,7,FALSE)</f>
        <v>мел+офсет</v>
      </c>
      <c r="W663" s="247">
        <f>IF(ISNA(V663),VLOOKUP(E663,категория!A$42:C$74,3,),6.94+R663*8.333/VLOOKUP(V663,категория!A$42:C$74,2,))</f>
        <v>7.3599832000000003</v>
      </c>
    </row>
    <row r="664" spans="1:23" ht="15.75">
      <c r="A664" s="277">
        <v>43855.555555555555</v>
      </c>
      <c r="B664" s="277">
        <v>43855.559027777781</v>
      </c>
      <c r="C664" s="277">
        <f t="shared" si="31"/>
        <v>3.4722222262644209E-3</v>
      </c>
      <c r="D664" s="278">
        <v>1.0416666666666666E-2</v>
      </c>
      <c r="E664" s="329" t="s">
        <v>170</v>
      </c>
      <c r="F664" s="330"/>
      <c r="G664" s="330"/>
      <c r="H664" s="330"/>
      <c r="I664" s="330"/>
      <c r="J664" s="330"/>
      <c r="K664" s="330"/>
      <c r="L664" s="330"/>
      <c r="M664" s="330"/>
      <c r="N664" s="330"/>
      <c r="O664" s="330"/>
      <c r="P664" s="330"/>
      <c r="Q664" s="330"/>
      <c r="R664" s="330"/>
      <c r="S664" s="330"/>
      <c r="T664" s="330"/>
      <c r="U664" s="331"/>
      <c r="V664" s="247" t="e">
        <f>VLOOKUP(E664,Лист4!A$2:G$395,7,FALSE)</f>
        <v>#N/A</v>
      </c>
      <c r="W664" s="247">
        <f>IF(ISNA(V664),VLOOKUP(E664,категория!A$42:C$74,3,),6.94+R664*8.333/VLOOKUP(V664,категория!A$42:C$74,2,))</f>
        <v>2.085</v>
      </c>
    </row>
    <row r="665" spans="1:23" ht="48">
      <c r="A665" s="277">
        <v>43855.559027777781</v>
      </c>
      <c r="B665" s="277">
        <v>43855.579861111109</v>
      </c>
      <c r="C665" s="277">
        <f t="shared" si="31"/>
        <v>2.0833333328482695E-2</v>
      </c>
      <c r="D665" s="278">
        <v>2.0833333333333332E-2</v>
      </c>
      <c r="E665" s="279">
        <v>113</v>
      </c>
      <c r="F665" s="280" t="s">
        <v>540</v>
      </c>
      <c r="G665" s="280" t="s">
        <v>541</v>
      </c>
      <c r="H665" s="281" t="s">
        <v>246</v>
      </c>
      <c r="I665" s="282">
        <v>43846</v>
      </c>
      <c r="J665" s="283"/>
      <c r="K665" s="279" t="s">
        <v>240</v>
      </c>
      <c r="L665" s="284"/>
      <c r="M665" s="285"/>
      <c r="N665" s="280" t="s">
        <v>41</v>
      </c>
      <c r="O665" s="279">
        <v>170</v>
      </c>
      <c r="P665" s="279" t="s">
        <v>236</v>
      </c>
      <c r="Q665" s="286" t="s">
        <v>229</v>
      </c>
      <c r="R665" s="287">
        <v>252</v>
      </c>
      <c r="S665" s="287">
        <v>560</v>
      </c>
      <c r="T665" s="283"/>
      <c r="U665" s="287" t="s">
        <v>76</v>
      </c>
      <c r="V665" s="247" t="str">
        <f>VLOOKUP(E665,Лист4!A$2:G$395,7,FALSE)</f>
        <v>мел+офсет</v>
      </c>
      <c r="W665" s="247">
        <f>IF(ISNA(V665),VLOOKUP(E665,категория!A$42:C$74,3,),6.94+R665*8.333/VLOOKUP(V665,категория!A$42:C$74,2,))</f>
        <v>7.3599832000000003</v>
      </c>
    </row>
    <row r="666" spans="1:23" ht="15.75">
      <c r="A666" s="277">
        <v>43855.579861111109</v>
      </c>
      <c r="B666" s="277">
        <v>43855.583333333336</v>
      </c>
      <c r="C666" s="277">
        <f t="shared" si="31"/>
        <v>3.4722222262644209E-3</v>
      </c>
      <c r="D666" s="278">
        <v>1.0416666666666666E-2</v>
      </c>
      <c r="E666" s="329" t="s">
        <v>170</v>
      </c>
      <c r="F666" s="330"/>
      <c r="G666" s="330"/>
      <c r="H666" s="330"/>
      <c r="I666" s="330"/>
      <c r="J666" s="330"/>
      <c r="K666" s="330"/>
      <c r="L666" s="330"/>
      <c r="M666" s="330"/>
      <c r="N666" s="330"/>
      <c r="O666" s="330"/>
      <c r="P666" s="330"/>
      <c r="Q666" s="330"/>
      <c r="R666" s="330"/>
      <c r="S666" s="330"/>
      <c r="T666" s="330"/>
      <c r="U666" s="331"/>
      <c r="V666" s="247" t="e">
        <f>VLOOKUP(E666,Лист4!A$2:G$395,7,FALSE)</f>
        <v>#N/A</v>
      </c>
      <c r="W666" s="247">
        <f>IF(ISNA(V666),VLOOKUP(E666,категория!A$42:C$74,3,),6.94+R666*8.333/VLOOKUP(V666,категория!A$42:C$74,2,))</f>
        <v>2.085</v>
      </c>
    </row>
    <row r="667" spans="1:23" ht="15.75">
      <c r="A667" s="277">
        <v>43855.583333333336</v>
      </c>
      <c r="B667" s="277">
        <v>43855.635416666664</v>
      </c>
      <c r="C667" s="277">
        <f t="shared" si="31"/>
        <v>5.2083333328482695E-2</v>
      </c>
      <c r="D667" s="278">
        <v>3.472222222222222E-3</v>
      </c>
      <c r="E667" s="329" t="s">
        <v>237</v>
      </c>
      <c r="F667" s="330"/>
      <c r="G667" s="330"/>
      <c r="H667" s="330"/>
      <c r="I667" s="330"/>
      <c r="J667" s="330"/>
      <c r="K667" s="330"/>
      <c r="L667" s="330"/>
      <c r="M667" s="330"/>
      <c r="N667" s="330"/>
      <c r="O667" s="330"/>
      <c r="P667" s="330"/>
      <c r="Q667" s="330"/>
      <c r="R667" s="330"/>
      <c r="S667" s="330"/>
      <c r="T667" s="330"/>
      <c r="U667" s="331"/>
      <c r="V667" s="247" t="e">
        <f>VLOOKUP(E667,Лист4!A$2:G$395,7,FALSE)</f>
        <v>#N/A</v>
      </c>
      <c r="W667" s="247">
        <f>IF(ISNA(V667),VLOOKUP(E667,категория!A$42:C$74,3,),6.94+R667*8.333/VLOOKUP(V667,категория!A$42:C$74,2,))</f>
        <v>5.5553333333333335</v>
      </c>
    </row>
    <row r="668" spans="1:23" ht="48">
      <c r="A668" s="277">
        <v>43855.635416666664</v>
      </c>
      <c r="B668" s="277">
        <v>43855.652777777781</v>
      </c>
      <c r="C668" s="277">
        <f t="shared" si="31"/>
        <v>1.7361111116770189E-2</v>
      </c>
      <c r="D668" s="278">
        <v>1.7361111111111112E-2</v>
      </c>
      <c r="E668" s="279">
        <v>113</v>
      </c>
      <c r="F668" s="280" t="s">
        <v>540</v>
      </c>
      <c r="G668" s="280" t="s">
        <v>541</v>
      </c>
      <c r="H668" s="281" t="s">
        <v>248</v>
      </c>
      <c r="I668" s="282">
        <v>43846</v>
      </c>
      <c r="J668" s="283"/>
      <c r="K668" s="279" t="s">
        <v>227</v>
      </c>
      <c r="L668" s="284"/>
      <c r="M668" s="285"/>
      <c r="N668" s="280" t="s">
        <v>41</v>
      </c>
      <c r="O668" s="279">
        <v>170</v>
      </c>
      <c r="P668" s="279" t="s">
        <v>236</v>
      </c>
      <c r="Q668" s="286" t="s">
        <v>229</v>
      </c>
      <c r="R668" s="287">
        <v>252</v>
      </c>
      <c r="S668" s="287">
        <v>560</v>
      </c>
      <c r="T668" s="283"/>
      <c r="U668" s="287" t="s">
        <v>76</v>
      </c>
      <c r="V668" s="247" t="str">
        <f>VLOOKUP(E668,Лист4!A$2:G$395,7,FALSE)</f>
        <v>мел+офсет</v>
      </c>
      <c r="W668" s="247">
        <f>IF(ISNA(V668),VLOOKUP(E668,категория!A$42:C$74,3,),6.94+R668*8.333/VLOOKUP(V668,категория!A$42:C$74,2,))</f>
        <v>7.3599832000000003</v>
      </c>
    </row>
    <row r="669" spans="1:23" ht="15.75">
      <c r="A669" s="277">
        <v>43855.652777777781</v>
      </c>
      <c r="B669" s="277">
        <v>43855.65625</v>
      </c>
      <c r="C669" s="277">
        <f t="shared" si="31"/>
        <v>3.4722222189884633E-3</v>
      </c>
      <c r="D669" s="278">
        <v>1.0416666666666666E-2</v>
      </c>
      <c r="E669" s="329" t="s">
        <v>170</v>
      </c>
      <c r="F669" s="330"/>
      <c r="G669" s="330"/>
      <c r="H669" s="330"/>
      <c r="I669" s="330"/>
      <c r="J669" s="330"/>
      <c r="K669" s="330"/>
      <c r="L669" s="330"/>
      <c r="M669" s="330"/>
      <c r="N669" s="330"/>
      <c r="O669" s="330"/>
      <c r="P669" s="330"/>
      <c r="Q669" s="330"/>
      <c r="R669" s="330"/>
      <c r="S669" s="330"/>
      <c r="T669" s="330"/>
      <c r="U669" s="331"/>
      <c r="V669" s="247" t="e">
        <f>VLOOKUP(E669,Лист4!A$2:G$395,7,FALSE)</f>
        <v>#N/A</v>
      </c>
      <c r="W669" s="247">
        <f>IF(ISNA(V669),VLOOKUP(E669,категория!A$42:C$74,3,),6.94+R669*8.333/VLOOKUP(V669,категория!A$42:C$74,2,))</f>
        <v>2.085</v>
      </c>
    </row>
    <row r="670" spans="1:23" ht="15.75">
      <c r="A670" s="277">
        <v>43855.65625</v>
      </c>
      <c r="B670" s="277">
        <v>43855.663194444445</v>
      </c>
      <c r="C670" s="277">
        <f t="shared" si="31"/>
        <v>6.9444444452528842E-3</v>
      </c>
      <c r="D670" s="278">
        <v>3.472222222222222E-3</v>
      </c>
      <c r="E670" s="329" t="s">
        <v>327</v>
      </c>
      <c r="F670" s="330"/>
      <c r="G670" s="330"/>
      <c r="H670" s="330"/>
      <c r="I670" s="330"/>
      <c r="J670" s="330"/>
      <c r="K670" s="330"/>
      <c r="L670" s="330"/>
      <c r="M670" s="330"/>
      <c r="N670" s="330"/>
      <c r="O670" s="330"/>
      <c r="P670" s="330"/>
      <c r="Q670" s="330"/>
      <c r="R670" s="330"/>
      <c r="S670" s="330"/>
      <c r="T670" s="330"/>
      <c r="U670" s="331"/>
      <c r="V670" s="247" t="e">
        <f>VLOOKUP(E670,Лист4!A$2:G$395,7,FALSE)</f>
        <v>#N/A</v>
      </c>
      <c r="W670" s="247">
        <f>8.33*0.166</f>
        <v>1.3827800000000001</v>
      </c>
    </row>
    <row r="671" spans="1:23" ht="32.25" customHeight="1">
      <c r="A671" s="277">
        <v>43855.663194444445</v>
      </c>
      <c r="B671" s="277">
        <v>43855.684027777781</v>
      </c>
      <c r="C671" s="277">
        <f t="shared" si="31"/>
        <v>2.0833333335758653E-2</v>
      </c>
      <c r="D671" s="278">
        <v>2.0833333333333332E-2</v>
      </c>
      <c r="E671" s="279">
        <v>113</v>
      </c>
      <c r="F671" s="280" t="s">
        <v>540</v>
      </c>
      <c r="G671" s="280" t="s">
        <v>541</v>
      </c>
      <c r="H671" s="281" t="s">
        <v>245</v>
      </c>
      <c r="I671" s="282">
        <v>43846</v>
      </c>
      <c r="J671" s="283"/>
      <c r="K671" s="279" t="s">
        <v>227</v>
      </c>
      <c r="L671" s="284"/>
      <c r="M671" s="285"/>
      <c r="N671" s="280" t="s">
        <v>41</v>
      </c>
      <c r="O671" s="279">
        <v>170</v>
      </c>
      <c r="P671" s="279" t="s">
        <v>236</v>
      </c>
      <c r="Q671" s="286" t="s">
        <v>229</v>
      </c>
      <c r="R671" s="287">
        <v>252</v>
      </c>
      <c r="S671" s="287">
        <v>560</v>
      </c>
      <c r="T671" s="283"/>
      <c r="U671" s="287" t="s">
        <v>76</v>
      </c>
      <c r="V671" s="247" t="str">
        <f>VLOOKUP(E671,Лист4!A$2:G$395,7,FALSE)</f>
        <v>мел+офсет</v>
      </c>
      <c r="W671" s="247">
        <f>IF(ISNA(V671),VLOOKUP(E671,категория!A$42:C$74,3,),6.94+R671*8.333/VLOOKUP(V671,категория!A$42:C$74,2,))</f>
        <v>7.3599832000000003</v>
      </c>
    </row>
    <row r="672" spans="1:23" ht="15.75">
      <c r="A672" s="277">
        <v>43855.684027777781</v>
      </c>
      <c r="B672" s="277">
        <v>43855.833333333336</v>
      </c>
      <c r="C672" s="277">
        <f t="shared" si="31"/>
        <v>0.14930555555474712</v>
      </c>
      <c r="D672" s="278">
        <v>4.1666666666666664E-2</v>
      </c>
      <c r="E672" s="329" t="s">
        <v>7</v>
      </c>
      <c r="F672" s="330"/>
      <c r="G672" s="330"/>
      <c r="H672" s="330"/>
      <c r="I672" s="330"/>
      <c r="J672" s="330"/>
      <c r="K672" s="330"/>
      <c r="L672" s="330"/>
      <c r="M672" s="330"/>
      <c r="N672" s="330"/>
      <c r="O672" s="330"/>
      <c r="P672" s="330"/>
      <c r="Q672" s="330"/>
      <c r="R672" s="330"/>
      <c r="S672" s="330"/>
      <c r="T672" s="330"/>
      <c r="U672" s="331"/>
      <c r="V672" s="247" t="e">
        <f>VLOOKUP(E672,Лист4!A$2:G$395,7,FALSE)</f>
        <v>#N/A</v>
      </c>
      <c r="W672" s="247">
        <f>IF(ISNA(V672),VLOOKUP(E672,категория!A$42:C$74,3,),6.94+R672*8.333/VLOOKUP(V672,категория!A$42:C$74,2,))*3.5</f>
        <v>29.166549999999997</v>
      </c>
    </row>
    <row r="673" spans="1:23" ht="30" customHeight="1">
      <c r="A673" s="288">
        <v>43855.833333333336</v>
      </c>
      <c r="B673" s="332" t="s">
        <v>542</v>
      </c>
      <c r="C673" s="333"/>
      <c r="D673" s="334"/>
      <c r="E673" s="334"/>
      <c r="F673" s="334"/>
      <c r="G673" s="334"/>
      <c r="H673" s="334"/>
      <c r="I673" s="334"/>
      <c r="J673" s="334"/>
      <c r="K673" s="334"/>
      <c r="L673" s="334"/>
      <c r="M673" s="334"/>
      <c r="N673" s="334"/>
      <c r="O673" s="334"/>
      <c r="P673" s="334"/>
      <c r="Q673" s="334"/>
      <c r="R673" s="334"/>
      <c r="S673" s="334"/>
      <c r="T673" s="334"/>
      <c r="U673" s="335"/>
      <c r="V673" s="247" t="e">
        <f>VLOOKUP(E673,Лист4!A$2:G$395,7,FALSE)</f>
        <v>#N/A</v>
      </c>
      <c r="W673" s="52">
        <f>SUM(W655:W672)</f>
        <v>126.23520018484848</v>
      </c>
    </row>
    <row r="674" spans="1:23" ht="15.75">
      <c r="A674" s="277">
        <v>43855.833333333336</v>
      </c>
      <c r="B674" s="277">
        <v>43856.333333333336</v>
      </c>
      <c r="C674" s="277"/>
      <c r="D674" s="278">
        <v>4.1666666666666664E-2</v>
      </c>
      <c r="E674" s="329" t="s">
        <v>283</v>
      </c>
      <c r="F674" s="330"/>
      <c r="G674" s="330"/>
      <c r="H674" s="330"/>
      <c r="I674" s="330"/>
      <c r="J674" s="330"/>
      <c r="K674" s="330"/>
      <c r="L674" s="330"/>
      <c r="M674" s="330"/>
      <c r="N674" s="330"/>
      <c r="O674" s="330"/>
      <c r="P674" s="330"/>
      <c r="Q674" s="330"/>
      <c r="R674" s="330"/>
      <c r="S674" s="330"/>
      <c r="T674" s="330"/>
      <c r="U674" s="331"/>
      <c r="V674" s="247" t="e">
        <f>VLOOKUP(E674,Лист4!A$2:G$395,7,FALSE)</f>
        <v>#N/A</v>
      </c>
      <c r="W674" s="247">
        <v>100</v>
      </c>
    </row>
    <row r="675" spans="1:23" ht="34.5" customHeight="1">
      <c r="A675" s="288">
        <v>43856.333333333336</v>
      </c>
      <c r="B675" s="332" t="s">
        <v>543</v>
      </c>
      <c r="C675" s="333"/>
      <c r="D675" s="334"/>
      <c r="E675" s="334"/>
      <c r="F675" s="334"/>
      <c r="G675" s="334"/>
      <c r="H675" s="334"/>
      <c r="I675" s="334"/>
      <c r="J675" s="334"/>
      <c r="K675" s="334"/>
      <c r="L675" s="334"/>
      <c r="M675" s="334"/>
      <c r="N675" s="334"/>
      <c r="O675" s="334"/>
      <c r="P675" s="334"/>
      <c r="Q675" s="334"/>
      <c r="R675" s="334"/>
      <c r="S675" s="334"/>
      <c r="T675" s="334"/>
      <c r="U675" s="335"/>
      <c r="V675" s="247" t="e">
        <f>VLOOKUP(E675,Лист4!A$2:G$395,7,FALSE)</f>
        <v>#N/A</v>
      </c>
      <c r="W675" s="247" t="e">
        <f>IF(ISNA(V675),VLOOKUP(E675,категория!A$42:C$74,3,),6.94+R675*8.333/VLOOKUP(V675,категория!A$42:C$74,2,))</f>
        <v>#N/A</v>
      </c>
    </row>
    <row r="676" spans="1:23" ht="15.75">
      <c r="A676" s="277">
        <v>43856.333333333336</v>
      </c>
      <c r="B676" s="277">
        <v>43856.833333333336</v>
      </c>
      <c r="C676" s="277"/>
      <c r="D676" s="278">
        <v>4.1666666666666664E-2</v>
      </c>
      <c r="E676" s="329" t="s">
        <v>283</v>
      </c>
      <c r="F676" s="330"/>
      <c r="G676" s="330"/>
      <c r="H676" s="330"/>
      <c r="I676" s="330"/>
      <c r="J676" s="330"/>
      <c r="K676" s="330"/>
      <c r="L676" s="330"/>
      <c r="M676" s="330"/>
      <c r="N676" s="330"/>
      <c r="O676" s="330"/>
      <c r="P676" s="330"/>
      <c r="Q676" s="330"/>
      <c r="R676" s="330"/>
      <c r="S676" s="330"/>
      <c r="T676" s="330"/>
      <c r="U676" s="331"/>
      <c r="V676" s="247" t="e">
        <f>VLOOKUP(E676,Лист4!A$2:G$395,7,FALSE)</f>
        <v>#N/A</v>
      </c>
      <c r="W676" s="247">
        <v>100</v>
      </c>
    </row>
    <row r="677" spans="1:23" ht="15.75">
      <c r="A677" s="288">
        <v>43856.833333333336</v>
      </c>
      <c r="B677" s="332" t="s">
        <v>544</v>
      </c>
      <c r="C677" s="333"/>
      <c r="D677" s="334"/>
      <c r="E677" s="334"/>
      <c r="F677" s="334"/>
      <c r="G677" s="334"/>
      <c r="H677" s="334"/>
      <c r="I677" s="334"/>
      <c r="J677" s="334"/>
      <c r="K677" s="334"/>
      <c r="L677" s="334"/>
      <c r="M677" s="334"/>
      <c r="N677" s="334"/>
      <c r="O677" s="334"/>
      <c r="P677" s="334"/>
      <c r="Q677" s="334"/>
      <c r="R677" s="334"/>
      <c r="S677" s="334"/>
      <c r="T677" s="334"/>
      <c r="U677" s="335"/>
      <c r="V677" s="247" t="e">
        <f>VLOOKUP(E677,Лист4!A$2:G$395,7,FALSE)</f>
        <v>#N/A</v>
      </c>
      <c r="W677" s="247" t="e">
        <f>IF(ISNA(V677),VLOOKUP(E677,категория!A$42:C$74,3,),6.94+R677*8.333/VLOOKUP(V677,категория!A$42:C$74,2,))</f>
        <v>#N/A</v>
      </c>
    </row>
    <row r="678" spans="1:23" ht="39.75" customHeight="1">
      <c r="A678" s="277">
        <v>43856.833333333336</v>
      </c>
      <c r="B678" s="277">
        <v>43857.333333333336</v>
      </c>
      <c r="C678" s="277"/>
      <c r="D678" s="278">
        <v>4.1666666666666664E-2</v>
      </c>
      <c r="E678" s="329" t="s">
        <v>283</v>
      </c>
      <c r="F678" s="330"/>
      <c r="G678" s="330"/>
      <c r="H678" s="330"/>
      <c r="I678" s="330"/>
      <c r="J678" s="330"/>
      <c r="K678" s="330"/>
      <c r="L678" s="330"/>
      <c r="M678" s="330"/>
      <c r="N678" s="330"/>
      <c r="O678" s="330"/>
      <c r="P678" s="330"/>
      <c r="Q678" s="330"/>
      <c r="R678" s="330"/>
      <c r="S678" s="330"/>
      <c r="T678" s="330"/>
      <c r="U678" s="331"/>
      <c r="V678" s="247" t="e">
        <f>VLOOKUP(E678,Лист4!A$2:G$395,7,FALSE)</f>
        <v>#N/A</v>
      </c>
      <c r="W678" s="247">
        <v>100</v>
      </c>
    </row>
    <row r="679" spans="1:23" ht="15.75">
      <c r="A679" s="288">
        <v>43857.333333333336</v>
      </c>
      <c r="B679" s="332" t="s">
        <v>545</v>
      </c>
      <c r="C679" s="333"/>
      <c r="D679" s="334"/>
      <c r="E679" s="334"/>
      <c r="F679" s="334"/>
      <c r="G679" s="334"/>
      <c r="H679" s="334"/>
      <c r="I679" s="334"/>
      <c r="J679" s="334"/>
      <c r="K679" s="334"/>
      <c r="L679" s="334"/>
      <c r="M679" s="334"/>
      <c r="N679" s="334"/>
      <c r="O679" s="334"/>
      <c r="P679" s="334"/>
      <c r="Q679" s="334"/>
      <c r="R679" s="334"/>
      <c r="S679" s="334"/>
      <c r="T679" s="334"/>
      <c r="U679" s="335"/>
      <c r="V679" s="247" t="e">
        <f>VLOOKUP(E679,Лист4!A$2:G$395,7,FALSE)</f>
        <v>#N/A</v>
      </c>
      <c r="W679" s="247" t="e">
        <f>IF(ISNA(V679),VLOOKUP(E679,категория!A$42:C$74,3,),6.94+R679*8.333/VLOOKUP(V679,категория!A$42:C$74,2,))</f>
        <v>#N/A</v>
      </c>
    </row>
    <row r="680" spans="1:23" ht="44.25" customHeight="1">
      <c r="A680" s="277">
        <v>43857.333333333336</v>
      </c>
      <c r="B680" s="277">
        <v>43857.833333333336</v>
      </c>
      <c r="C680" s="277"/>
      <c r="D680" s="278">
        <v>0.5</v>
      </c>
      <c r="E680" s="329" t="s">
        <v>283</v>
      </c>
      <c r="F680" s="330"/>
      <c r="G680" s="330"/>
      <c r="H680" s="330"/>
      <c r="I680" s="330"/>
      <c r="J680" s="330"/>
      <c r="K680" s="330"/>
      <c r="L680" s="330"/>
      <c r="M680" s="330"/>
      <c r="N680" s="330"/>
      <c r="O680" s="330"/>
      <c r="P680" s="330"/>
      <c r="Q680" s="330"/>
      <c r="R680" s="330"/>
      <c r="S680" s="330"/>
      <c r="T680" s="330"/>
      <c r="U680" s="331"/>
      <c r="V680" s="247" t="e">
        <f>VLOOKUP(E680,Лист4!A$2:G$395,7,FALSE)</f>
        <v>#N/A</v>
      </c>
      <c r="W680" s="247">
        <v>100</v>
      </c>
    </row>
    <row r="681" spans="1:23" ht="15.75">
      <c r="A681" s="288">
        <v>43857.833333333336</v>
      </c>
      <c r="B681" s="332" t="s">
        <v>546</v>
      </c>
      <c r="C681" s="333"/>
      <c r="D681" s="334"/>
      <c r="E681" s="334"/>
      <c r="F681" s="334"/>
      <c r="G681" s="334"/>
      <c r="H681" s="334"/>
      <c r="I681" s="334"/>
      <c r="J681" s="334"/>
      <c r="K681" s="334"/>
      <c r="L681" s="334"/>
      <c r="M681" s="334"/>
      <c r="N681" s="334"/>
      <c r="O681" s="334"/>
      <c r="P681" s="334"/>
      <c r="Q681" s="334"/>
      <c r="R681" s="334"/>
      <c r="S681" s="334"/>
      <c r="T681" s="334"/>
      <c r="U681" s="335"/>
      <c r="V681" s="247" t="e">
        <f>VLOOKUP(E681,Лист4!A$2:G$395,7,FALSE)</f>
        <v>#N/A</v>
      </c>
      <c r="W681" s="247" t="e">
        <f>IF(ISNA(V681),VLOOKUP(E681,категория!A$42:C$74,3,),6.94+R681*8.333/VLOOKUP(V681,категория!A$42:C$74,2,))</f>
        <v>#N/A</v>
      </c>
    </row>
    <row r="682" spans="1:23" ht="15.75">
      <c r="A682" s="277">
        <v>43857.833333333336</v>
      </c>
      <c r="B682" s="277">
        <v>43857.854166666664</v>
      </c>
      <c r="C682" s="277">
        <f>B682-A682</f>
        <v>2.0833333328482695E-2</v>
      </c>
      <c r="D682" s="278">
        <v>2.0833333333333332E-2</v>
      </c>
      <c r="E682" s="329" t="s">
        <v>22</v>
      </c>
      <c r="F682" s="330"/>
      <c r="G682" s="330"/>
      <c r="H682" s="330"/>
      <c r="I682" s="330"/>
      <c r="J682" s="330"/>
      <c r="K682" s="330"/>
      <c r="L682" s="330"/>
      <c r="M682" s="330"/>
      <c r="N682" s="330"/>
      <c r="O682" s="330"/>
      <c r="P682" s="330"/>
      <c r="Q682" s="330"/>
      <c r="R682" s="330"/>
      <c r="S682" s="330"/>
      <c r="T682" s="330"/>
      <c r="U682" s="331"/>
      <c r="V682" s="247" t="e">
        <f>VLOOKUP(E682,Лист4!A$2:G$395,7,FALSE)</f>
        <v>#N/A</v>
      </c>
      <c r="W682" s="247">
        <f>IF(ISNA(V682),VLOOKUP(E682,категория!A$42:C$74,3,),6.94+R682*8.333/VLOOKUP(V682,категория!A$42:C$74,2,))</f>
        <v>4.17</v>
      </c>
    </row>
    <row r="683" spans="1:23" ht="15.75">
      <c r="A683" s="277">
        <v>43857.854166666664</v>
      </c>
      <c r="B683" s="277">
        <v>43857.986111111109</v>
      </c>
      <c r="C683" s="277">
        <f t="shared" ref="C683:C693" si="32">B683-A683</f>
        <v>0.13194444444525288</v>
      </c>
      <c r="D683" s="278">
        <v>4.1666666666666664E-2</v>
      </c>
      <c r="E683" s="329" t="s">
        <v>28</v>
      </c>
      <c r="F683" s="330"/>
      <c r="G683" s="330"/>
      <c r="H683" s="330"/>
      <c r="I683" s="330"/>
      <c r="J683" s="330"/>
      <c r="K683" s="330"/>
      <c r="L683" s="330"/>
      <c r="M683" s="330"/>
      <c r="N683" s="330"/>
      <c r="O683" s="330"/>
      <c r="P683" s="330"/>
      <c r="Q683" s="330"/>
      <c r="R683" s="330"/>
      <c r="S683" s="330"/>
      <c r="T683" s="330"/>
      <c r="U683" s="331"/>
      <c r="V683" s="247" t="e">
        <f>VLOOKUP(E683,Лист4!A$2:G$395,7,FALSE)</f>
        <v>#N/A</v>
      </c>
      <c r="W683" s="247">
        <f>IF(ISNA(V683),VLOOKUP(E683,категория!A$42:C$74,3,),6.94+R683*8.333/VLOOKUP(V683,категория!A$42:C$74,2,))*3.16</f>
        <v>26.333227999999998</v>
      </c>
    </row>
    <row r="684" spans="1:23" ht="19.5" customHeight="1">
      <c r="A684" s="277">
        <v>43857.986111111109</v>
      </c>
      <c r="B684" s="277">
        <v>43858.034722222219</v>
      </c>
      <c r="C684" s="277">
        <f t="shared" si="32"/>
        <v>4.8611111109494232E-2</v>
      </c>
      <c r="D684" s="278">
        <v>4.8611111111111112E-2</v>
      </c>
      <c r="E684" s="279">
        <v>215</v>
      </c>
      <c r="F684" s="280" t="s">
        <v>275</v>
      </c>
      <c r="G684" s="280" t="s">
        <v>547</v>
      </c>
      <c r="H684" s="281" t="s">
        <v>226</v>
      </c>
      <c r="I684" s="282">
        <v>43860</v>
      </c>
      <c r="J684" s="283"/>
      <c r="K684" s="279" t="s">
        <v>227</v>
      </c>
      <c r="L684" s="284"/>
      <c r="M684" s="285"/>
      <c r="N684" s="280" t="s">
        <v>41</v>
      </c>
      <c r="O684" s="279">
        <v>300</v>
      </c>
      <c r="P684" s="279" t="s">
        <v>228</v>
      </c>
      <c r="Q684" s="286" t="s">
        <v>229</v>
      </c>
      <c r="R684" s="287">
        <v>1100</v>
      </c>
      <c r="S684" s="287">
        <v>1210</v>
      </c>
      <c r="T684" s="283" t="s">
        <v>232</v>
      </c>
      <c r="U684" s="287" t="s">
        <v>77</v>
      </c>
      <c r="V684" s="247" t="str">
        <f>VLOOKUP(E684,Лист4!A$2:G$395,7,FALSE)</f>
        <v>мел+офсет</v>
      </c>
      <c r="W684" s="247">
        <f>IF(ISNA(V684),VLOOKUP(E684,категория!A$42:C$74,3,),6.94+R684*8.333/VLOOKUP(V684,категория!A$42:C$74,2,))</f>
        <v>8.7732600000000005</v>
      </c>
    </row>
    <row r="685" spans="1:23" ht="15.75">
      <c r="A685" s="277">
        <v>43858.034722222219</v>
      </c>
      <c r="B685" s="277">
        <v>43858.041666666664</v>
      </c>
      <c r="C685" s="277">
        <f t="shared" si="32"/>
        <v>6.9444444452528842E-3</v>
      </c>
      <c r="D685" s="278">
        <v>6.9444444444444441E-3</v>
      </c>
      <c r="E685" s="329" t="s">
        <v>170</v>
      </c>
      <c r="F685" s="330"/>
      <c r="G685" s="330"/>
      <c r="H685" s="330"/>
      <c r="I685" s="330"/>
      <c r="J685" s="330"/>
      <c r="K685" s="330"/>
      <c r="L685" s="330"/>
      <c r="M685" s="330"/>
      <c r="N685" s="330"/>
      <c r="O685" s="330"/>
      <c r="P685" s="330"/>
      <c r="Q685" s="330"/>
      <c r="R685" s="330"/>
      <c r="S685" s="330"/>
      <c r="T685" s="330"/>
      <c r="U685" s="331"/>
      <c r="V685" s="247" t="e">
        <f>VLOOKUP(E685,Лист4!A$2:G$395,7,FALSE)</f>
        <v>#N/A</v>
      </c>
      <c r="W685" s="247">
        <f>IF(ISNA(V685),VLOOKUP(E685,категория!A$42:C$74,3,),6.94+R685*8.333/VLOOKUP(V685,категория!A$42:C$74,2,))</f>
        <v>2.085</v>
      </c>
    </row>
    <row r="686" spans="1:23" ht="15.75">
      <c r="A686" s="277">
        <v>43858.041666666664</v>
      </c>
      <c r="B686" s="277">
        <v>43858.0625</v>
      </c>
      <c r="C686" s="277">
        <f t="shared" si="32"/>
        <v>2.0833333335758653E-2</v>
      </c>
      <c r="D686" s="278">
        <v>2.0833333333333332E-2</v>
      </c>
      <c r="E686" s="329" t="s">
        <v>23</v>
      </c>
      <c r="F686" s="330"/>
      <c r="G686" s="330"/>
      <c r="H686" s="330"/>
      <c r="I686" s="330"/>
      <c r="J686" s="330"/>
      <c r="K686" s="330"/>
      <c r="L686" s="330"/>
      <c r="M686" s="330"/>
      <c r="N686" s="330"/>
      <c r="O686" s="330"/>
      <c r="P686" s="330"/>
      <c r="Q686" s="330"/>
      <c r="R686" s="330"/>
      <c r="S686" s="330"/>
      <c r="T686" s="330"/>
      <c r="U686" s="331"/>
      <c r="V686" s="247" t="e">
        <f>VLOOKUP(E686,Лист4!A$2:G$395,7,FALSE)</f>
        <v>#N/A</v>
      </c>
      <c r="W686" s="247">
        <f>IF(ISNA(V686),VLOOKUP(E686,категория!A$42:C$74,3,),6.94+R686*8.333/VLOOKUP(V686,категория!A$42:C$74,2,))</f>
        <v>2.78</v>
      </c>
    </row>
    <row r="687" spans="1:23" ht="15.75">
      <c r="A687" s="277">
        <v>43858.0625</v>
      </c>
      <c r="B687" s="277">
        <v>43858.131944444445</v>
      </c>
      <c r="C687" s="277">
        <f t="shared" si="32"/>
        <v>6.9444444445252884E-2</v>
      </c>
      <c r="D687" s="278">
        <v>4.1666666666666664E-2</v>
      </c>
      <c r="E687" s="329" t="s">
        <v>548</v>
      </c>
      <c r="F687" s="330"/>
      <c r="G687" s="330"/>
      <c r="H687" s="330"/>
      <c r="I687" s="330"/>
      <c r="J687" s="330"/>
      <c r="K687" s="330"/>
      <c r="L687" s="330"/>
      <c r="M687" s="330"/>
      <c r="N687" s="330"/>
      <c r="O687" s="330"/>
      <c r="P687" s="330"/>
      <c r="Q687" s="330"/>
      <c r="R687" s="330"/>
      <c r="S687" s="330"/>
      <c r="T687" s="330"/>
      <c r="U687" s="331"/>
      <c r="V687" s="247" t="e">
        <f>VLOOKUP(E687,Лист4!A$2:G$395,7,FALSE)</f>
        <v>#N/A</v>
      </c>
      <c r="W687" s="247">
        <f>8.33*1.6667</f>
        <v>13.883611</v>
      </c>
    </row>
    <row r="688" spans="1:23" ht="96">
      <c r="A688" s="277">
        <v>43858.131944444445</v>
      </c>
      <c r="B688" s="277">
        <v>43858.180555555555</v>
      </c>
      <c r="C688" s="277">
        <f t="shared" si="32"/>
        <v>4.8611111109494232E-2</v>
      </c>
      <c r="D688" s="278">
        <v>4.8611111111111112E-2</v>
      </c>
      <c r="E688" s="279">
        <v>224</v>
      </c>
      <c r="F688" s="280" t="s">
        <v>250</v>
      </c>
      <c r="G688" s="280" t="s">
        <v>549</v>
      </c>
      <c r="H688" s="281" t="s">
        <v>242</v>
      </c>
      <c r="I688" s="282">
        <v>43860</v>
      </c>
      <c r="J688" s="283"/>
      <c r="K688" s="279" t="s">
        <v>227</v>
      </c>
      <c r="L688" s="284"/>
      <c r="M688" s="285"/>
      <c r="N688" s="280" t="s">
        <v>38</v>
      </c>
      <c r="O688" s="279">
        <v>100</v>
      </c>
      <c r="P688" s="279" t="s">
        <v>375</v>
      </c>
      <c r="Q688" s="286" t="s">
        <v>229</v>
      </c>
      <c r="R688" s="287">
        <v>3500</v>
      </c>
      <c r="S688" s="287">
        <v>3597</v>
      </c>
      <c r="T688" s="283"/>
      <c r="U688" s="287" t="s">
        <v>77</v>
      </c>
      <c r="V688" s="247" t="str">
        <f>VLOOKUP(E688,Лист4!A$2:G$395,7,FALSE)</f>
        <v>мел+офсет</v>
      </c>
      <c r="W688" s="247">
        <f>IF(ISNA(V688),VLOOKUP(E688,категория!A$42:C$74,3,),6.94+R688*8.333/VLOOKUP(V688,категория!A$42:C$74,2,))</f>
        <v>12.773099999999999</v>
      </c>
    </row>
    <row r="689" spans="1:23" ht="15.75">
      <c r="A689" s="277">
        <v>43858.180555555555</v>
      </c>
      <c r="B689" s="277">
        <v>43858.1875</v>
      </c>
      <c r="C689" s="277">
        <f t="shared" si="32"/>
        <v>6.9444444452528842E-3</v>
      </c>
      <c r="D689" s="278">
        <v>6.9444444444444441E-3</v>
      </c>
      <c r="E689" s="329" t="s">
        <v>170</v>
      </c>
      <c r="F689" s="330"/>
      <c r="G689" s="330"/>
      <c r="H689" s="330"/>
      <c r="I689" s="330"/>
      <c r="J689" s="330"/>
      <c r="K689" s="330"/>
      <c r="L689" s="330"/>
      <c r="M689" s="330"/>
      <c r="N689" s="330"/>
      <c r="O689" s="330"/>
      <c r="P689" s="330"/>
      <c r="Q689" s="330"/>
      <c r="R689" s="330"/>
      <c r="S689" s="330"/>
      <c r="T689" s="330"/>
      <c r="U689" s="331"/>
      <c r="V689" s="247" t="e">
        <f>VLOOKUP(E689,Лист4!A$2:G$395,7,FALSE)</f>
        <v>#N/A</v>
      </c>
      <c r="W689" s="247">
        <f>IF(ISNA(V689),VLOOKUP(E689,категория!A$42:C$74,3,),6.94+R689*8.333/VLOOKUP(V689,категория!A$42:C$74,2,))</f>
        <v>2.085</v>
      </c>
    </row>
    <row r="690" spans="1:23" ht="15.75">
      <c r="A690" s="277">
        <v>43858.1875</v>
      </c>
      <c r="B690" s="277">
        <v>43858.222222222219</v>
      </c>
      <c r="C690" s="277">
        <f t="shared" si="32"/>
        <v>3.4722222218988463E-2</v>
      </c>
      <c r="D690" s="278">
        <v>3.472222222222222E-3</v>
      </c>
      <c r="E690" s="329" t="s">
        <v>237</v>
      </c>
      <c r="F690" s="330"/>
      <c r="G690" s="330"/>
      <c r="H690" s="330"/>
      <c r="I690" s="330"/>
      <c r="J690" s="330"/>
      <c r="K690" s="330"/>
      <c r="L690" s="330"/>
      <c r="M690" s="330"/>
      <c r="N690" s="330"/>
      <c r="O690" s="330"/>
      <c r="P690" s="330"/>
      <c r="Q690" s="330"/>
      <c r="R690" s="330"/>
      <c r="S690" s="330"/>
      <c r="T690" s="330"/>
      <c r="U690" s="331"/>
      <c r="V690" s="247" t="e">
        <f>VLOOKUP(E690,Лист4!A$2:G$395,7,FALSE)</f>
        <v>#N/A</v>
      </c>
      <c r="W690" s="247">
        <f>IF(ISNA(V690),VLOOKUP(E690,категория!A$42:C$74,3,),6.94+R690*8.333/VLOOKUP(V690,категория!A$42:C$74,2,))</f>
        <v>5.5553333333333335</v>
      </c>
    </row>
    <row r="691" spans="1:23" ht="96">
      <c r="A691" s="277">
        <v>43858.222222222219</v>
      </c>
      <c r="B691" s="277">
        <v>43858.270833333336</v>
      </c>
      <c r="C691" s="277">
        <f t="shared" si="32"/>
        <v>4.8611111116770189E-2</v>
      </c>
      <c r="D691" s="278">
        <v>4.8611111111111112E-2</v>
      </c>
      <c r="E691" s="279">
        <v>224</v>
      </c>
      <c r="F691" s="280" t="s">
        <v>250</v>
      </c>
      <c r="G691" s="280" t="s">
        <v>549</v>
      </c>
      <c r="H691" s="281" t="s">
        <v>239</v>
      </c>
      <c r="I691" s="282">
        <v>43860</v>
      </c>
      <c r="J691" s="283"/>
      <c r="K691" s="279" t="s">
        <v>240</v>
      </c>
      <c r="L691" s="284"/>
      <c r="M691" s="285"/>
      <c r="N691" s="280" t="s">
        <v>38</v>
      </c>
      <c r="O691" s="279">
        <v>100</v>
      </c>
      <c r="P691" s="279" t="s">
        <v>375</v>
      </c>
      <c r="Q691" s="286" t="s">
        <v>229</v>
      </c>
      <c r="R691" s="287">
        <v>3400</v>
      </c>
      <c r="S691" s="287">
        <v>3597</v>
      </c>
      <c r="T691" s="283"/>
      <c r="U691" s="287" t="s">
        <v>77</v>
      </c>
      <c r="V691" s="247" t="str">
        <f>VLOOKUP(E691,Лист4!A$2:G$395,7,FALSE)</f>
        <v>мел+офсет</v>
      </c>
      <c r="W691" s="247">
        <f>IF(ISNA(V691),VLOOKUP(E691,категория!A$42:C$74,3,),6.94+R691*8.333/VLOOKUP(V691,категория!A$42:C$74,2,))</f>
        <v>12.606440000000001</v>
      </c>
    </row>
    <row r="692" spans="1:23" ht="15.75">
      <c r="A692" s="277">
        <v>43858.270833333336</v>
      </c>
      <c r="B692" s="277">
        <v>43858.277777777781</v>
      </c>
      <c r="C692" s="277">
        <f t="shared" si="32"/>
        <v>6.9444444452528842E-3</v>
      </c>
      <c r="D692" s="278">
        <v>1.0416666666666666E-2</v>
      </c>
      <c r="E692" s="329" t="s">
        <v>170</v>
      </c>
      <c r="F692" s="330"/>
      <c r="G692" s="330"/>
      <c r="H692" s="330"/>
      <c r="I692" s="330"/>
      <c r="J692" s="330"/>
      <c r="K692" s="330"/>
      <c r="L692" s="330"/>
      <c r="M692" s="330"/>
      <c r="N692" s="330"/>
      <c r="O692" s="330"/>
      <c r="P692" s="330"/>
      <c r="Q692" s="330"/>
      <c r="R692" s="330"/>
      <c r="S692" s="330"/>
      <c r="T692" s="330"/>
      <c r="U692" s="331"/>
      <c r="V692" s="247" t="e">
        <f>VLOOKUP(E692,Лист4!A$2:G$395,7,FALSE)</f>
        <v>#N/A</v>
      </c>
      <c r="W692" s="247">
        <f>IF(ISNA(V692),VLOOKUP(E692,категория!A$42:C$74,3,),6.94+R692*8.333/VLOOKUP(V692,категория!A$42:C$74,2,))</f>
        <v>2.085</v>
      </c>
    </row>
    <row r="693" spans="1:23" ht="15.75">
      <c r="A693" s="277">
        <v>43858.277777777781</v>
      </c>
      <c r="B693" s="277">
        <v>43858.333333333336</v>
      </c>
      <c r="C693" s="277">
        <f t="shared" si="32"/>
        <v>5.5555555554747116E-2</v>
      </c>
      <c r="D693" s="278">
        <v>4.1666666666666664E-2</v>
      </c>
      <c r="E693" s="329" t="s">
        <v>28</v>
      </c>
      <c r="F693" s="330"/>
      <c r="G693" s="330"/>
      <c r="H693" s="330"/>
      <c r="I693" s="330"/>
      <c r="J693" s="330"/>
      <c r="K693" s="330"/>
      <c r="L693" s="330"/>
      <c r="M693" s="330"/>
      <c r="N693" s="330"/>
      <c r="O693" s="330"/>
      <c r="P693" s="330"/>
      <c r="Q693" s="330"/>
      <c r="R693" s="330"/>
      <c r="S693" s="330"/>
      <c r="T693" s="330"/>
      <c r="U693" s="331"/>
      <c r="V693" s="247" t="e">
        <f>VLOOKUP(E693,Лист4!A$2:G$395,7,FALSE)</f>
        <v>#N/A</v>
      </c>
      <c r="W693" s="247">
        <f>IF(ISNA(V693),VLOOKUP(E693,категория!A$42:C$74,3,),6.94+R693*8.333/VLOOKUP(V693,категория!A$42:C$74,2,))*1.333</f>
        <v>11.1082889</v>
      </c>
    </row>
    <row r="694" spans="1:23" ht="39" customHeight="1">
      <c r="A694" s="288">
        <v>43858.333333333336</v>
      </c>
      <c r="B694" s="332" t="s">
        <v>550</v>
      </c>
      <c r="C694" s="333"/>
      <c r="D694" s="334"/>
      <c r="E694" s="334"/>
      <c r="F694" s="334"/>
      <c r="G694" s="334"/>
      <c r="H694" s="334"/>
      <c r="I694" s="334"/>
      <c r="J694" s="334"/>
      <c r="K694" s="334"/>
      <c r="L694" s="334"/>
      <c r="M694" s="334"/>
      <c r="N694" s="334"/>
      <c r="O694" s="334"/>
      <c r="P694" s="334"/>
      <c r="Q694" s="334"/>
      <c r="R694" s="334"/>
      <c r="S694" s="334"/>
      <c r="T694" s="334"/>
      <c r="U694" s="335"/>
      <c r="V694" s="247" t="e">
        <f>VLOOKUP(E694,Лист4!A$2:G$395,7,FALSE)</f>
        <v>#N/A</v>
      </c>
      <c r="W694" s="52">
        <f>SUM(W682:W693)</f>
        <v>104.23826123333335</v>
      </c>
    </row>
    <row r="695" spans="1:23" ht="15.75">
      <c r="A695" s="277">
        <v>43858.333333333336</v>
      </c>
      <c r="B695" s="277">
        <v>43858.354166666664</v>
      </c>
      <c r="C695" s="277">
        <f>B695-A695</f>
        <v>2.0833333328482695E-2</v>
      </c>
      <c r="D695" s="278">
        <v>2.0833333333333332E-2</v>
      </c>
      <c r="E695" s="329" t="s">
        <v>22</v>
      </c>
      <c r="F695" s="330"/>
      <c r="G695" s="330"/>
      <c r="H695" s="330"/>
      <c r="I695" s="330"/>
      <c r="J695" s="330"/>
      <c r="K695" s="330"/>
      <c r="L695" s="330"/>
      <c r="M695" s="330"/>
      <c r="N695" s="330"/>
      <c r="O695" s="330"/>
      <c r="P695" s="330"/>
      <c r="Q695" s="330"/>
      <c r="R695" s="330"/>
      <c r="S695" s="330"/>
      <c r="T695" s="330"/>
      <c r="U695" s="331"/>
      <c r="V695" s="247" t="e">
        <f>VLOOKUP(E695,Лист4!A$2:G$395,7,FALSE)</f>
        <v>#N/A</v>
      </c>
      <c r="W695" s="247">
        <f>IF(ISNA(V695),VLOOKUP(E695,категория!A$42:C$74,3,),6.94+R695*8.333/VLOOKUP(V695,категория!A$42:C$74,2,))</f>
        <v>4.17</v>
      </c>
    </row>
    <row r="696" spans="1:23" ht="15.75">
      <c r="A696" s="277">
        <v>43858.354166666664</v>
      </c>
      <c r="B696" s="277">
        <v>43858.416666666664</v>
      </c>
      <c r="C696" s="277">
        <f t="shared" ref="C696:C710" si="33">B696-A696</f>
        <v>6.25E-2</v>
      </c>
      <c r="D696" s="278">
        <v>4.1666666666666664E-2</v>
      </c>
      <c r="E696" s="329" t="s">
        <v>28</v>
      </c>
      <c r="F696" s="330"/>
      <c r="G696" s="330"/>
      <c r="H696" s="330"/>
      <c r="I696" s="330"/>
      <c r="J696" s="330"/>
      <c r="K696" s="330"/>
      <c r="L696" s="330"/>
      <c r="M696" s="330"/>
      <c r="N696" s="330"/>
      <c r="O696" s="330"/>
      <c r="P696" s="330"/>
      <c r="Q696" s="330"/>
      <c r="R696" s="330"/>
      <c r="S696" s="330"/>
      <c r="T696" s="330"/>
      <c r="U696" s="331"/>
      <c r="V696" s="247" t="e">
        <f>VLOOKUP(E696,Лист4!A$2:G$395,7,FALSE)</f>
        <v>#N/A</v>
      </c>
      <c r="W696" s="247">
        <f>IF(ISNA(V696),VLOOKUP(E696,категория!A$42:C$74,3,),6.94+R696*8.333/VLOOKUP(V696,категория!A$42:C$74,2,))*1.5</f>
        <v>12.499949999999998</v>
      </c>
    </row>
    <row r="697" spans="1:23" ht="15.75">
      <c r="A697" s="277">
        <v>43858.416666666664</v>
      </c>
      <c r="B697" s="277">
        <v>43858.4375</v>
      </c>
      <c r="C697" s="277">
        <f t="shared" si="33"/>
        <v>2.0833333335758653E-2</v>
      </c>
      <c r="D697" s="278">
        <v>3.472222222222222E-3</v>
      </c>
      <c r="E697" s="329" t="s">
        <v>24</v>
      </c>
      <c r="F697" s="330"/>
      <c r="G697" s="330"/>
      <c r="H697" s="330"/>
      <c r="I697" s="330"/>
      <c r="J697" s="330"/>
      <c r="K697" s="330"/>
      <c r="L697" s="330"/>
      <c r="M697" s="330"/>
      <c r="N697" s="330"/>
      <c r="O697" s="330"/>
      <c r="P697" s="330"/>
      <c r="Q697" s="330"/>
      <c r="R697" s="330"/>
      <c r="S697" s="330"/>
      <c r="T697" s="330"/>
      <c r="U697" s="331"/>
      <c r="V697" s="247" t="e">
        <f>VLOOKUP(E697,Лист4!A$2:G$395,7,FALSE)</f>
        <v>#N/A</v>
      </c>
      <c r="W697" s="247">
        <f>IF(ISNA(V697),VLOOKUP(E697,категория!A$42:C$74,3,),6.94+R697*8.333/VLOOKUP(V697,категория!A$42:C$74,2,))</f>
        <v>3.47</v>
      </c>
    </row>
    <row r="698" spans="1:23" ht="15.75">
      <c r="A698" s="277">
        <v>43858.4375</v>
      </c>
      <c r="B698" s="277">
        <v>43858.451388888891</v>
      </c>
      <c r="C698" s="277">
        <f t="shared" si="33"/>
        <v>1.3888888890505768E-2</v>
      </c>
      <c r="D698" s="278">
        <v>3.472222222222222E-3</v>
      </c>
      <c r="E698" s="329" t="s">
        <v>26</v>
      </c>
      <c r="F698" s="330"/>
      <c r="G698" s="330"/>
      <c r="H698" s="330"/>
      <c r="I698" s="330"/>
      <c r="J698" s="330"/>
      <c r="K698" s="330"/>
      <c r="L698" s="330"/>
      <c r="M698" s="330"/>
      <c r="N698" s="330"/>
      <c r="O698" s="330"/>
      <c r="P698" s="330"/>
      <c r="Q698" s="330"/>
      <c r="R698" s="330"/>
      <c r="S698" s="330"/>
      <c r="T698" s="330"/>
      <c r="U698" s="331"/>
      <c r="V698" s="247" t="e">
        <f>VLOOKUP(E698,Лист4!A$2:G$395,7,FALSE)</f>
        <v>#N/A</v>
      </c>
      <c r="W698" s="247">
        <f>IF(ISNA(V698),VLOOKUP(E698,категория!A$42:C$74,3,),6.94+R698*8.333/VLOOKUP(V698,категория!A$42:C$74,2,))</f>
        <v>6.94</v>
      </c>
    </row>
    <row r="699" spans="1:23" ht="15.75">
      <c r="A699" s="277">
        <v>43858.451388888891</v>
      </c>
      <c r="B699" s="277">
        <v>43858.479166666664</v>
      </c>
      <c r="C699" s="277">
        <f t="shared" si="33"/>
        <v>2.7777777773735579E-2</v>
      </c>
      <c r="D699" s="278">
        <v>4.1666666666666664E-2</v>
      </c>
      <c r="E699" s="329" t="s">
        <v>253</v>
      </c>
      <c r="F699" s="330"/>
      <c r="G699" s="330"/>
      <c r="H699" s="330"/>
      <c r="I699" s="330"/>
      <c r="J699" s="330"/>
      <c r="K699" s="330"/>
      <c r="L699" s="330"/>
      <c r="M699" s="330"/>
      <c r="N699" s="330"/>
      <c r="O699" s="330"/>
      <c r="P699" s="330"/>
      <c r="Q699" s="330"/>
      <c r="R699" s="330"/>
      <c r="S699" s="330"/>
      <c r="T699" s="330"/>
      <c r="U699" s="331"/>
      <c r="V699" s="247" t="e">
        <f>VLOOKUP(E699,Лист4!A$2:G$395,7,FALSE)</f>
        <v>#N/A</v>
      </c>
      <c r="W699" s="247">
        <f>0.6667*8.333</f>
        <v>5.5556111000000001</v>
      </c>
    </row>
    <row r="700" spans="1:23" ht="60">
      <c r="A700" s="277">
        <v>43858.479166666664</v>
      </c>
      <c r="B700" s="277">
        <v>43858.506944444445</v>
      </c>
      <c r="C700" s="277">
        <f t="shared" si="33"/>
        <v>2.7777777781011537E-2</v>
      </c>
      <c r="D700" s="278">
        <v>2.7777777777777776E-2</v>
      </c>
      <c r="E700" s="279">
        <v>218</v>
      </c>
      <c r="F700" s="280" t="s">
        <v>343</v>
      </c>
      <c r="G700" s="280" t="s">
        <v>551</v>
      </c>
      <c r="H700" s="281" t="s">
        <v>226</v>
      </c>
      <c r="I700" s="282">
        <v>43859</v>
      </c>
      <c r="J700" s="283" t="s">
        <v>232</v>
      </c>
      <c r="K700" s="279" t="s">
        <v>227</v>
      </c>
      <c r="L700" s="284"/>
      <c r="M700" s="285"/>
      <c r="N700" s="280" t="s">
        <v>39</v>
      </c>
      <c r="O700" s="279">
        <v>210</v>
      </c>
      <c r="P700" s="279" t="s">
        <v>236</v>
      </c>
      <c r="Q700" s="286" t="s">
        <v>229</v>
      </c>
      <c r="R700" s="287">
        <v>2500</v>
      </c>
      <c r="S700" s="287">
        <v>2700</v>
      </c>
      <c r="T700" s="283" t="s">
        <v>232</v>
      </c>
      <c r="U700" s="287" t="s">
        <v>230</v>
      </c>
      <c r="V700" s="247" t="str">
        <f>VLOOKUP(E700,Лист4!A$2:G$395,7,FALSE)</f>
        <v>мел+офсет</v>
      </c>
      <c r="W700" s="247">
        <f>IF(ISNA(V700),VLOOKUP(E700,категория!A$42:C$74,3,),6.94+R700*8.333/VLOOKUP(V700,категория!A$42:C$74,2,))</f>
        <v>11.1065</v>
      </c>
    </row>
    <row r="701" spans="1:23" ht="33.75" customHeight="1">
      <c r="A701" s="277">
        <v>43858.506944444445</v>
      </c>
      <c r="B701" s="277">
        <v>43858.527777777781</v>
      </c>
      <c r="C701" s="277">
        <f t="shared" si="33"/>
        <v>2.0833333335758653E-2</v>
      </c>
      <c r="D701" s="278">
        <v>2.0833333333333332E-2</v>
      </c>
      <c r="E701" s="329" t="s">
        <v>2</v>
      </c>
      <c r="F701" s="330"/>
      <c r="G701" s="330"/>
      <c r="H701" s="330"/>
      <c r="I701" s="330"/>
      <c r="J701" s="330"/>
      <c r="K701" s="330"/>
      <c r="L701" s="330"/>
      <c r="M701" s="330"/>
      <c r="N701" s="330"/>
      <c r="O701" s="330"/>
      <c r="P701" s="330"/>
      <c r="Q701" s="330"/>
      <c r="R701" s="330"/>
      <c r="S701" s="330"/>
      <c r="T701" s="330"/>
      <c r="U701" s="331"/>
      <c r="V701" s="247" t="e">
        <f>VLOOKUP(E701,Лист4!A$2:G$395,7,FALSE)</f>
        <v>#N/A</v>
      </c>
      <c r="W701" s="247">
        <f>IF(ISNA(V701),VLOOKUP(E701,категория!A$42:C$74,3,),6.94+R701*8.333/VLOOKUP(V701,категория!A$42:C$74,2,))</f>
        <v>4.17</v>
      </c>
    </row>
    <row r="702" spans="1:23" ht="15.75">
      <c r="A702" s="277">
        <v>43858.527777777781</v>
      </c>
      <c r="B702" s="277">
        <v>43858.548611111109</v>
      </c>
      <c r="C702" s="277">
        <f t="shared" si="33"/>
        <v>2.0833333328482695E-2</v>
      </c>
      <c r="D702" s="278">
        <v>3.472222222222222E-3</v>
      </c>
      <c r="E702" s="329" t="s">
        <v>24</v>
      </c>
      <c r="F702" s="330"/>
      <c r="G702" s="330"/>
      <c r="H702" s="330"/>
      <c r="I702" s="330"/>
      <c r="J702" s="330"/>
      <c r="K702" s="330"/>
      <c r="L702" s="330"/>
      <c r="M702" s="330"/>
      <c r="N702" s="330"/>
      <c r="O702" s="330"/>
      <c r="P702" s="330"/>
      <c r="Q702" s="330"/>
      <c r="R702" s="330"/>
      <c r="S702" s="330"/>
      <c r="T702" s="330"/>
      <c r="U702" s="331"/>
      <c r="V702" s="247" t="e">
        <f>VLOOKUP(E702,Лист4!A$2:G$395,7,FALSE)</f>
        <v>#N/A</v>
      </c>
      <c r="W702" s="247">
        <f>IF(ISNA(V702),VLOOKUP(E702,категория!A$42:C$74,3,),6.94+R702*8.333/VLOOKUP(V702,категория!A$42:C$74,2,))</f>
        <v>3.47</v>
      </c>
    </row>
    <row r="703" spans="1:23" ht="15.75">
      <c r="A703" s="277">
        <v>43858.548611111109</v>
      </c>
      <c r="B703" s="277">
        <v>43858.590277777781</v>
      </c>
      <c r="C703" s="277">
        <f t="shared" si="33"/>
        <v>4.1666666671517305E-2</v>
      </c>
      <c r="D703" s="278">
        <v>3.472222222222222E-3</v>
      </c>
      <c r="E703" s="329" t="s">
        <v>26</v>
      </c>
      <c r="F703" s="330"/>
      <c r="G703" s="330"/>
      <c r="H703" s="330"/>
      <c r="I703" s="330"/>
      <c r="J703" s="330"/>
      <c r="K703" s="330"/>
      <c r="L703" s="330"/>
      <c r="M703" s="330"/>
      <c r="N703" s="330"/>
      <c r="O703" s="330"/>
      <c r="P703" s="330"/>
      <c r="Q703" s="330"/>
      <c r="R703" s="330"/>
      <c r="S703" s="330"/>
      <c r="T703" s="330"/>
      <c r="U703" s="331"/>
      <c r="V703" s="247" t="e">
        <f>VLOOKUP(E703,Лист4!A$2:G$395,7,FALSE)</f>
        <v>#N/A</v>
      </c>
      <c r="W703" s="247">
        <f>IF(ISNA(V703),VLOOKUP(E703,категория!A$42:C$74,3,),6.94+R703*8.333/VLOOKUP(V703,категория!A$42:C$74,2,))</f>
        <v>6.94</v>
      </c>
    </row>
    <row r="704" spans="1:23" ht="36">
      <c r="A704" s="336">
        <v>43858.590277777781</v>
      </c>
      <c r="B704" s="336">
        <v>43858.618055555555</v>
      </c>
      <c r="C704" s="277">
        <f t="shared" si="33"/>
        <v>2.7777777773735579E-2</v>
      </c>
      <c r="D704" s="338">
        <v>2.7777777777777776E-2</v>
      </c>
      <c r="E704" s="340">
        <v>219</v>
      </c>
      <c r="F704" s="280" t="s">
        <v>343</v>
      </c>
      <c r="G704" s="280" t="s">
        <v>552</v>
      </c>
      <c r="H704" s="281" t="s">
        <v>226</v>
      </c>
      <c r="I704" s="282">
        <v>43859</v>
      </c>
      <c r="J704" s="283" t="s">
        <v>232</v>
      </c>
      <c r="K704" s="279" t="s">
        <v>227</v>
      </c>
      <c r="L704" s="284"/>
      <c r="M704" s="285"/>
      <c r="N704" s="280" t="s">
        <v>39</v>
      </c>
      <c r="O704" s="279">
        <v>210</v>
      </c>
      <c r="P704" s="279" t="s">
        <v>228</v>
      </c>
      <c r="Q704" s="286" t="s">
        <v>241</v>
      </c>
      <c r="R704" s="287">
        <v>1400</v>
      </c>
      <c r="S704" s="287">
        <v>1680</v>
      </c>
      <c r="T704" s="283"/>
      <c r="U704" s="287" t="s">
        <v>230</v>
      </c>
      <c r="V704" s="247" t="str">
        <f>VLOOKUP(E704,Лист4!A$2:G$395,7,FALSE)</f>
        <v>мел+офсет</v>
      </c>
      <c r="W704" s="247">
        <f>IF(ISNA(V704),VLOOKUP(E704,категория!A$42:C$74,3,),6.94+R704*8.333/VLOOKUP(V704,категория!A$42:C$74,2,))</f>
        <v>9.2732400000000013</v>
      </c>
    </row>
    <row r="705" spans="1:23">
      <c r="A705" s="337"/>
      <c r="B705" s="337"/>
      <c r="C705" s="277">
        <f t="shared" si="33"/>
        <v>0</v>
      </c>
      <c r="D705" s="339"/>
      <c r="E705" s="341"/>
      <c r="F705" s="342" t="s">
        <v>553</v>
      </c>
      <c r="G705" s="343"/>
      <c r="H705" s="343"/>
      <c r="I705" s="343"/>
      <c r="J705" s="343"/>
      <c r="K705" s="343"/>
      <c r="L705" s="343"/>
      <c r="M705" s="343"/>
      <c r="N705" s="343"/>
      <c r="O705" s="343"/>
      <c r="P705" s="343"/>
      <c r="Q705" s="343"/>
      <c r="R705" s="343"/>
      <c r="S705" s="343"/>
      <c r="T705" s="343"/>
      <c r="U705" s="344"/>
      <c r="V705" s="247" t="e">
        <f>VLOOKUP(E705,Лист4!A$2:G$395,7,FALSE)</f>
        <v>#N/A</v>
      </c>
      <c r="W705" s="247">
        <v>0</v>
      </c>
    </row>
    <row r="706" spans="1:23" ht="15.75">
      <c r="A706" s="277">
        <v>43858.618055555555</v>
      </c>
      <c r="B706" s="277">
        <v>43858.625</v>
      </c>
      <c r="C706" s="277">
        <f t="shared" si="33"/>
        <v>6.9444444452528842E-3</v>
      </c>
      <c r="D706" s="278">
        <v>1.0416666666666666E-2</v>
      </c>
      <c r="E706" s="329" t="s">
        <v>170</v>
      </c>
      <c r="F706" s="330"/>
      <c r="G706" s="330"/>
      <c r="H706" s="330"/>
      <c r="I706" s="330"/>
      <c r="J706" s="330"/>
      <c r="K706" s="330"/>
      <c r="L706" s="330"/>
      <c r="M706" s="330"/>
      <c r="N706" s="330"/>
      <c r="O706" s="330"/>
      <c r="P706" s="330"/>
      <c r="Q706" s="330"/>
      <c r="R706" s="330"/>
      <c r="S706" s="330"/>
      <c r="T706" s="330"/>
      <c r="U706" s="331"/>
      <c r="V706" s="247" t="e">
        <f>VLOOKUP(E706,Лист4!A$2:G$395,7,FALSE)</f>
        <v>#N/A</v>
      </c>
      <c r="W706" s="247">
        <f>IF(ISNA(V706),VLOOKUP(E706,категория!A$42:C$74,3,),6.94+R706*8.333/VLOOKUP(V706,категория!A$42:C$74,2,))</f>
        <v>2.085</v>
      </c>
    </row>
    <row r="707" spans="1:23" ht="15.75">
      <c r="A707" s="277">
        <v>43858.625</v>
      </c>
      <c r="B707" s="277">
        <v>43858.645833333336</v>
      </c>
      <c r="C707" s="277">
        <f t="shared" si="33"/>
        <v>2.0833333335758653E-2</v>
      </c>
      <c r="D707" s="278">
        <v>2.0833333333333332E-2</v>
      </c>
      <c r="E707" s="329" t="s">
        <v>23</v>
      </c>
      <c r="F707" s="330"/>
      <c r="G707" s="330"/>
      <c r="H707" s="330"/>
      <c r="I707" s="330"/>
      <c r="J707" s="330"/>
      <c r="K707" s="330"/>
      <c r="L707" s="330"/>
      <c r="M707" s="330"/>
      <c r="N707" s="330"/>
      <c r="O707" s="330"/>
      <c r="P707" s="330"/>
      <c r="Q707" s="330"/>
      <c r="R707" s="330"/>
      <c r="S707" s="330"/>
      <c r="T707" s="330"/>
      <c r="U707" s="331"/>
      <c r="V707" s="247" t="e">
        <f>VLOOKUP(E707,Лист4!A$2:G$395,7,FALSE)</f>
        <v>#N/A</v>
      </c>
      <c r="W707" s="247">
        <f>IF(ISNA(V707),VLOOKUP(E707,категория!A$42:C$74,3,),6.94+R707*8.333/VLOOKUP(V707,категория!A$42:C$74,2,))</f>
        <v>2.78</v>
      </c>
    </row>
    <row r="708" spans="1:23" ht="15.75">
      <c r="A708" s="277">
        <v>43858.645833333336</v>
      </c>
      <c r="B708" s="277">
        <v>43858.6875</v>
      </c>
      <c r="C708" s="277">
        <f t="shared" si="33"/>
        <v>4.1666666664241347E-2</v>
      </c>
      <c r="D708" s="278">
        <v>4.1666666666666664E-2</v>
      </c>
      <c r="E708" s="329" t="s">
        <v>263</v>
      </c>
      <c r="F708" s="330"/>
      <c r="G708" s="330"/>
      <c r="H708" s="330"/>
      <c r="I708" s="330"/>
      <c r="J708" s="330"/>
      <c r="K708" s="330"/>
      <c r="L708" s="330"/>
      <c r="M708" s="330"/>
      <c r="N708" s="330"/>
      <c r="O708" s="330"/>
      <c r="P708" s="330"/>
      <c r="Q708" s="330"/>
      <c r="R708" s="330"/>
      <c r="S708" s="330"/>
      <c r="T708" s="330"/>
      <c r="U708" s="331"/>
      <c r="V708" s="247" t="e">
        <f>VLOOKUP(E708,Лист4!A$2:G$395,7,FALSE)</f>
        <v>#N/A</v>
      </c>
      <c r="W708" s="247">
        <v>8.3330000000000002</v>
      </c>
    </row>
    <row r="709" spans="1:23" ht="15.75">
      <c r="A709" s="277">
        <v>43858.6875</v>
      </c>
      <c r="B709" s="277">
        <v>43858.8125</v>
      </c>
      <c r="C709" s="277">
        <f t="shared" si="33"/>
        <v>0.125</v>
      </c>
      <c r="D709" s="278">
        <v>4.1666666666666664E-2</v>
      </c>
      <c r="E709" s="329" t="s">
        <v>554</v>
      </c>
      <c r="F709" s="330"/>
      <c r="G709" s="330"/>
      <c r="H709" s="330"/>
      <c r="I709" s="330"/>
      <c r="J709" s="330"/>
      <c r="K709" s="330"/>
      <c r="L709" s="330"/>
      <c r="M709" s="330"/>
      <c r="N709" s="330"/>
      <c r="O709" s="330"/>
      <c r="P709" s="330"/>
      <c r="Q709" s="330"/>
      <c r="R709" s="330"/>
      <c r="S709" s="330"/>
      <c r="T709" s="330"/>
      <c r="U709" s="331"/>
      <c r="V709" s="247" t="e">
        <f>VLOOKUP(E709,Лист4!A$2:G$395,7,FALSE)</f>
        <v>#N/A</v>
      </c>
      <c r="W709" s="247">
        <f>8.333*3</f>
        <v>24.999000000000002</v>
      </c>
    </row>
    <row r="710" spans="1:23" ht="15.75">
      <c r="A710" s="277">
        <v>43858.8125</v>
      </c>
      <c r="B710" s="277">
        <v>43858.833333333336</v>
      </c>
      <c r="C710" s="277">
        <f t="shared" si="33"/>
        <v>2.0833333335758653E-2</v>
      </c>
      <c r="D710" s="278">
        <v>2.0833333333333332E-2</v>
      </c>
      <c r="E710" s="329" t="s">
        <v>22</v>
      </c>
      <c r="F710" s="330"/>
      <c r="G710" s="330"/>
      <c r="H710" s="330"/>
      <c r="I710" s="330"/>
      <c r="J710" s="330"/>
      <c r="K710" s="330"/>
      <c r="L710" s="330"/>
      <c r="M710" s="330"/>
      <c r="N710" s="330"/>
      <c r="O710" s="330"/>
      <c r="P710" s="330"/>
      <c r="Q710" s="330"/>
      <c r="R710" s="330"/>
      <c r="S710" s="330"/>
      <c r="T710" s="330"/>
      <c r="U710" s="331"/>
      <c r="V710" s="247" t="e">
        <f>VLOOKUP(E710,Лист4!A$2:G$395,7,FALSE)</f>
        <v>#N/A</v>
      </c>
      <c r="W710" s="247">
        <f>IF(ISNA(V710),VLOOKUP(E710,категория!A$42:C$74,3,),6.94+R710*8.333/VLOOKUP(V710,категория!A$42:C$74,2,))</f>
        <v>4.17</v>
      </c>
    </row>
    <row r="711" spans="1:23" ht="50.25" customHeight="1">
      <c r="A711" s="336"/>
      <c r="B711" s="336"/>
      <c r="C711" s="191"/>
      <c r="D711" s="338"/>
      <c r="E711" s="340"/>
      <c r="F711" s="194"/>
      <c r="G711" s="194"/>
      <c r="H711" s="195"/>
      <c r="I711" s="196"/>
      <c r="J711" s="197"/>
      <c r="K711" s="193"/>
      <c r="L711" s="198"/>
      <c r="M711" s="199"/>
      <c r="N711" s="194"/>
      <c r="O711" s="193"/>
      <c r="P711" s="193"/>
      <c r="Q711" s="200"/>
      <c r="R711" s="201"/>
      <c r="S711" s="201"/>
      <c r="T711" s="197"/>
      <c r="U711" s="201"/>
      <c r="V711" s="247" t="e">
        <f>VLOOKUP(E711,Лист4!A$2:G$395,7,FALSE)</f>
        <v>#N/A</v>
      </c>
      <c r="W711" s="52">
        <f>SUM(W695:W710)</f>
        <v>109.9623011</v>
      </c>
    </row>
    <row r="712" spans="1:23">
      <c r="A712" s="337"/>
      <c r="B712" s="337"/>
      <c r="C712" s="191"/>
      <c r="D712" s="339"/>
      <c r="E712" s="341"/>
      <c r="F712" s="342"/>
      <c r="G712" s="343"/>
      <c r="H712" s="343"/>
      <c r="I712" s="343"/>
      <c r="J712" s="343"/>
      <c r="K712" s="343"/>
      <c r="L712" s="343"/>
      <c r="M712" s="343"/>
      <c r="N712" s="343"/>
      <c r="O712" s="343"/>
      <c r="P712" s="343"/>
      <c r="Q712" s="343"/>
      <c r="R712" s="343"/>
      <c r="S712" s="343"/>
      <c r="T712" s="343"/>
      <c r="U712" s="344"/>
      <c r="V712" s="247" t="e">
        <f>VLOOKUP(E712,Лист4!A$2:G$395,7,FALSE)</f>
        <v>#N/A</v>
      </c>
      <c r="W712" s="186"/>
    </row>
    <row r="713" spans="1:23" ht="31.5" customHeight="1">
      <c r="A713" s="300">
        <v>43858.833333333336</v>
      </c>
      <c r="B713" s="332" t="s">
        <v>555</v>
      </c>
      <c r="C713" s="333"/>
      <c r="D713" s="334"/>
      <c r="E713" s="334"/>
      <c r="F713" s="334"/>
      <c r="G713" s="334"/>
      <c r="H713" s="334"/>
      <c r="I713" s="334"/>
      <c r="J713" s="334"/>
      <c r="K713" s="334"/>
      <c r="L713" s="334"/>
      <c r="M713" s="334"/>
      <c r="N713" s="334"/>
      <c r="O713" s="334"/>
      <c r="P713" s="334"/>
      <c r="Q713" s="334"/>
      <c r="R713" s="334"/>
      <c r="S713" s="334"/>
      <c r="T713" s="334"/>
      <c r="U713" s="335"/>
      <c r="V713" s="247" t="e">
        <f>VLOOKUP(E713,Лист4!A$2:G$395,7,FALSE)</f>
        <v>#N/A</v>
      </c>
      <c r="W713" s="186"/>
    </row>
    <row r="714" spans="1:23" ht="15.75">
      <c r="A714" s="289">
        <v>43858.833333333336</v>
      </c>
      <c r="B714" s="289">
        <v>43858.854166666664</v>
      </c>
      <c r="C714" s="289">
        <f>B714-A714</f>
        <v>2.0833333328482695E-2</v>
      </c>
      <c r="D714" s="290">
        <v>2.0833333333333332E-2</v>
      </c>
      <c r="E714" s="329" t="s">
        <v>22</v>
      </c>
      <c r="F714" s="330"/>
      <c r="G714" s="330"/>
      <c r="H714" s="330"/>
      <c r="I714" s="330"/>
      <c r="J714" s="330"/>
      <c r="K714" s="330"/>
      <c r="L714" s="330"/>
      <c r="M714" s="330"/>
      <c r="N714" s="330"/>
      <c r="O714" s="330"/>
      <c r="P714" s="330"/>
      <c r="Q714" s="330"/>
      <c r="R714" s="330"/>
      <c r="S714" s="330"/>
      <c r="T714" s="330"/>
      <c r="U714" s="331"/>
      <c r="V714" s="247" t="e">
        <f>VLOOKUP(E714,Лист4!A$2:G$395,7,FALSE)</f>
        <v>#N/A</v>
      </c>
      <c r="W714" s="247">
        <f>IF(ISNA(V714),VLOOKUP(E714,категория!A$42:C$74,3,),6.94+R714*8.333/VLOOKUP(V714,категория!A$42:C$74,2,))</f>
        <v>4.17</v>
      </c>
    </row>
    <row r="715" spans="1:23" ht="15.75">
      <c r="A715" s="289">
        <v>43858.854166666664</v>
      </c>
      <c r="B715" s="289">
        <v>43858.888888888891</v>
      </c>
      <c r="C715" s="289">
        <f t="shared" ref="C715:C735" si="34">B715-A715</f>
        <v>3.4722222226264421E-2</v>
      </c>
      <c r="D715" s="290">
        <v>2.4305555555555556E-2</v>
      </c>
      <c r="E715" s="329" t="s">
        <v>171</v>
      </c>
      <c r="F715" s="330"/>
      <c r="G715" s="330"/>
      <c r="H715" s="330"/>
      <c r="I715" s="330"/>
      <c r="J715" s="330"/>
      <c r="K715" s="330"/>
      <c r="L715" s="330"/>
      <c r="M715" s="330"/>
      <c r="N715" s="330"/>
      <c r="O715" s="330"/>
      <c r="P715" s="330"/>
      <c r="Q715" s="330"/>
      <c r="R715" s="330"/>
      <c r="S715" s="330"/>
      <c r="T715" s="330"/>
      <c r="U715" s="331"/>
      <c r="V715" s="247" t="e">
        <f>VLOOKUP(E715,Лист4!A$2:G$395,7,FALSE)</f>
        <v>#N/A</v>
      </c>
      <c r="W715" s="247">
        <f>IF(ISNA(V715),VLOOKUP(E715,категория!A$42:C$74,3,),6.94+R715*8.333/VLOOKUP(V715,категория!A$42:C$74,2,))</f>
        <v>5.55</v>
      </c>
    </row>
    <row r="716" spans="1:23" ht="42" customHeight="1">
      <c r="A716" s="289">
        <v>43858.888888888891</v>
      </c>
      <c r="B716" s="289">
        <v>43858.902777777781</v>
      </c>
      <c r="C716" s="289">
        <f t="shared" si="34"/>
        <v>1.3888888890505768E-2</v>
      </c>
      <c r="D716" s="290">
        <v>2.7777777777777776E-2</v>
      </c>
      <c r="E716" s="329" t="s">
        <v>29</v>
      </c>
      <c r="F716" s="330"/>
      <c r="G716" s="330"/>
      <c r="H716" s="330"/>
      <c r="I716" s="330"/>
      <c r="J716" s="330"/>
      <c r="K716" s="330"/>
      <c r="L716" s="330"/>
      <c r="M716" s="330"/>
      <c r="N716" s="330"/>
      <c r="O716" s="330"/>
      <c r="P716" s="330"/>
      <c r="Q716" s="330"/>
      <c r="R716" s="330"/>
      <c r="S716" s="330"/>
      <c r="T716" s="330"/>
      <c r="U716" s="331"/>
      <c r="V716" s="247" t="e">
        <f>VLOOKUP(E716,Лист4!A$2:G$395,7,FALSE)</f>
        <v>#N/A</v>
      </c>
      <c r="W716" s="247">
        <f>IF(ISNA(V716),VLOOKUP(E716,категория!A$42:C$74,3,),6.94+R716*8.333/VLOOKUP(V716,категория!A$42:C$74,2,))</f>
        <v>5.55</v>
      </c>
    </row>
    <row r="717" spans="1:23" ht="15.75">
      <c r="A717" s="289">
        <v>43858.902777777781</v>
      </c>
      <c r="B717" s="289">
        <v>43858.916666666664</v>
      </c>
      <c r="C717" s="289">
        <f t="shared" si="34"/>
        <v>1.3888888883229811E-2</v>
      </c>
      <c r="D717" s="290">
        <v>4.1666666666666664E-2</v>
      </c>
      <c r="E717" s="329" t="s">
        <v>28</v>
      </c>
      <c r="F717" s="330"/>
      <c r="G717" s="330"/>
      <c r="H717" s="330"/>
      <c r="I717" s="330"/>
      <c r="J717" s="330"/>
      <c r="K717" s="330"/>
      <c r="L717" s="330"/>
      <c r="M717" s="330"/>
      <c r="N717" s="330"/>
      <c r="O717" s="330"/>
      <c r="P717" s="330"/>
      <c r="Q717" s="330"/>
      <c r="R717" s="330"/>
      <c r="S717" s="330"/>
      <c r="T717" s="330"/>
      <c r="U717" s="331"/>
      <c r="V717" s="247" t="e">
        <f>VLOOKUP(E717,Лист4!A$2:G$395,7,FALSE)</f>
        <v>#N/A</v>
      </c>
      <c r="W717" s="247">
        <f>IF(ISNA(V717),VLOOKUP(E717,категория!A$42:C$74,3,),6.94+R717*8.333/VLOOKUP(V717,категория!A$42:C$74,2,))*0.3333</f>
        <v>2.7774888899999999</v>
      </c>
    </row>
    <row r="718" spans="1:23" ht="48">
      <c r="A718" s="289">
        <v>43858.916666666664</v>
      </c>
      <c r="B718" s="289">
        <v>43858.951388888891</v>
      </c>
      <c r="C718" s="289">
        <f t="shared" si="34"/>
        <v>3.4722222226264421E-2</v>
      </c>
      <c r="D718" s="290">
        <v>3.4722222222222224E-2</v>
      </c>
      <c r="E718" s="291">
        <v>221</v>
      </c>
      <c r="F718" s="292" t="s">
        <v>303</v>
      </c>
      <c r="G718" s="292" t="s">
        <v>556</v>
      </c>
      <c r="H718" s="293" t="s">
        <v>258</v>
      </c>
      <c r="I718" s="294">
        <v>43865</v>
      </c>
      <c r="J718" s="295"/>
      <c r="K718" s="291" t="s">
        <v>227</v>
      </c>
      <c r="L718" s="296"/>
      <c r="M718" s="297" t="s">
        <v>276</v>
      </c>
      <c r="N718" s="292" t="s">
        <v>35</v>
      </c>
      <c r="O718" s="291">
        <v>215</v>
      </c>
      <c r="P718" s="291" t="s">
        <v>236</v>
      </c>
      <c r="Q718" s="298" t="s">
        <v>229</v>
      </c>
      <c r="R718" s="299">
        <v>2500</v>
      </c>
      <c r="S718" s="299">
        <v>3209</v>
      </c>
      <c r="T718" s="295" t="s">
        <v>232</v>
      </c>
      <c r="U718" s="299" t="s">
        <v>77</v>
      </c>
      <c r="V718" s="247" t="s">
        <v>286</v>
      </c>
      <c r="W718" s="247">
        <f>IF(ISNA(V718),VLOOKUP(E718,категория!A$42:C$74,3,),6.94+R718*8.333/VLOOKUP(V718,категория!A$42:C$74,2,))</f>
        <v>13.252878787878789</v>
      </c>
    </row>
    <row r="719" spans="1:23" ht="15.75">
      <c r="A719" s="289">
        <v>43858.951388888891</v>
      </c>
      <c r="B719" s="289">
        <v>43858.958333333336</v>
      </c>
      <c r="C719" s="289">
        <f t="shared" si="34"/>
        <v>6.9444444452528842E-3</v>
      </c>
      <c r="D719" s="290">
        <v>1.0416666666666666E-2</v>
      </c>
      <c r="E719" s="329" t="s">
        <v>170</v>
      </c>
      <c r="F719" s="330"/>
      <c r="G719" s="330"/>
      <c r="H719" s="330"/>
      <c r="I719" s="330"/>
      <c r="J719" s="330"/>
      <c r="K719" s="330"/>
      <c r="L719" s="330"/>
      <c r="M719" s="330"/>
      <c r="N719" s="330"/>
      <c r="O719" s="330"/>
      <c r="P719" s="330"/>
      <c r="Q719" s="330"/>
      <c r="R719" s="330"/>
      <c r="S719" s="330"/>
      <c r="T719" s="330"/>
      <c r="U719" s="331"/>
      <c r="V719" s="247" t="e">
        <f>VLOOKUP(E719,Лист4!A$2:G$395,7,FALSE)</f>
        <v>#N/A</v>
      </c>
      <c r="W719" s="247">
        <f>IF(ISNA(V719),VLOOKUP(E719,категория!A$42:C$74,3,),6.94+R719*8.333/VLOOKUP(V719,категория!A$42:C$74,2,))</f>
        <v>2.085</v>
      </c>
    </row>
    <row r="720" spans="1:23" ht="15.75">
      <c r="A720" s="289">
        <v>43858.958333333336</v>
      </c>
      <c r="B720" s="289">
        <v>43858.96875</v>
      </c>
      <c r="C720" s="289">
        <f t="shared" si="34"/>
        <v>1.0416666664241347E-2</v>
      </c>
      <c r="D720" s="290">
        <v>3.472222222222222E-3</v>
      </c>
      <c r="E720" s="329" t="s">
        <v>327</v>
      </c>
      <c r="F720" s="330"/>
      <c r="G720" s="330"/>
      <c r="H720" s="330"/>
      <c r="I720" s="330"/>
      <c r="J720" s="330"/>
      <c r="K720" s="330"/>
      <c r="L720" s="330"/>
      <c r="M720" s="330"/>
      <c r="N720" s="330"/>
      <c r="O720" s="330"/>
      <c r="P720" s="330"/>
      <c r="Q720" s="330"/>
      <c r="R720" s="330"/>
      <c r="S720" s="330"/>
      <c r="T720" s="330"/>
      <c r="U720" s="331"/>
      <c r="V720" s="247" t="e">
        <f>VLOOKUP(E720,Лист4!A$2:G$395,7,FALSE)</f>
        <v>#N/A</v>
      </c>
      <c r="W720" s="247">
        <f>8.333*0.25</f>
        <v>2.08325</v>
      </c>
    </row>
    <row r="721" spans="1:23" ht="48">
      <c r="A721" s="289">
        <v>43858.96875</v>
      </c>
      <c r="B721" s="289">
        <v>43858.993055555555</v>
      </c>
      <c r="C721" s="289">
        <f t="shared" si="34"/>
        <v>2.4305555554747116E-2</v>
      </c>
      <c r="D721" s="290">
        <v>2.4305555555555556E-2</v>
      </c>
      <c r="E721" s="291">
        <v>221</v>
      </c>
      <c r="F721" s="292" t="s">
        <v>303</v>
      </c>
      <c r="G721" s="292" t="s">
        <v>556</v>
      </c>
      <c r="H721" s="293" t="s">
        <v>259</v>
      </c>
      <c r="I721" s="294">
        <v>43865</v>
      </c>
      <c r="J721" s="295"/>
      <c r="K721" s="291" t="s">
        <v>227</v>
      </c>
      <c r="L721" s="296"/>
      <c r="M721" s="297" t="s">
        <v>276</v>
      </c>
      <c r="N721" s="292" t="s">
        <v>35</v>
      </c>
      <c r="O721" s="291">
        <v>215</v>
      </c>
      <c r="P721" s="291" t="s">
        <v>236</v>
      </c>
      <c r="Q721" s="298" t="s">
        <v>229</v>
      </c>
      <c r="R721" s="299">
        <v>2800</v>
      </c>
      <c r="S721" s="299">
        <v>2246</v>
      </c>
      <c r="T721" s="295" t="s">
        <v>232</v>
      </c>
      <c r="U721" s="299" t="s">
        <v>77</v>
      </c>
      <c r="V721" s="247" t="s">
        <v>286</v>
      </c>
      <c r="W721" s="247">
        <f>IF(ISNA(V721),VLOOKUP(E721,категория!A$42:C$74,3,),R721*8.333/VLOOKUP(V721,категория!A$42:C$74,2,))</f>
        <v>7.0704242424242425</v>
      </c>
    </row>
    <row r="722" spans="1:23" ht="15.75">
      <c r="A722" s="289">
        <v>43858.993055555555</v>
      </c>
      <c r="B722" s="289">
        <v>43859</v>
      </c>
      <c r="C722" s="289">
        <f t="shared" si="34"/>
        <v>6.9444444452528842E-3</v>
      </c>
      <c r="D722" s="290">
        <v>1.0416666666666666E-2</v>
      </c>
      <c r="E722" s="329" t="s">
        <v>170</v>
      </c>
      <c r="F722" s="330"/>
      <c r="G722" s="330"/>
      <c r="H722" s="330"/>
      <c r="I722" s="330"/>
      <c r="J722" s="330"/>
      <c r="K722" s="330"/>
      <c r="L722" s="330"/>
      <c r="M722" s="330"/>
      <c r="N722" s="330"/>
      <c r="O722" s="330"/>
      <c r="P722" s="330"/>
      <c r="Q722" s="330"/>
      <c r="R722" s="330"/>
      <c r="S722" s="330"/>
      <c r="T722" s="330"/>
      <c r="U722" s="331"/>
      <c r="V722" s="247" t="e">
        <f>VLOOKUP(E722,Лист4!A$2:G$395,7,FALSE)</f>
        <v>#N/A</v>
      </c>
      <c r="W722" s="247">
        <f>IF(ISNA(V722),VLOOKUP(E722,категория!A$42:C$74,3,),6.94+R722*8.333/VLOOKUP(V722,категория!A$42:C$74,2,))</f>
        <v>2.085</v>
      </c>
    </row>
    <row r="723" spans="1:23" ht="15.75">
      <c r="A723" s="289">
        <v>43859</v>
      </c>
      <c r="B723" s="289">
        <v>43859.010416666664</v>
      </c>
      <c r="C723" s="289">
        <f t="shared" si="34"/>
        <v>1.0416666664241347E-2</v>
      </c>
      <c r="D723" s="290">
        <v>2.0833333333333332E-2</v>
      </c>
      <c r="E723" s="329" t="s">
        <v>23</v>
      </c>
      <c r="F723" s="330"/>
      <c r="G723" s="330"/>
      <c r="H723" s="330"/>
      <c r="I723" s="330"/>
      <c r="J723" s="330"/>
      <c r="K723" s="330"/>
      <c r="L723" s="330"/>
      <c r="M723" s="330"/>
      <c r="N723" s="330"/>
      <c r="O723" s="330"/>
      <c r="P723" s="330"/>
      <c r="Q723" s="330"/>
      <c r="R723" s="330"/>
      <c r="S723" s="330"/>
      <c r="T723" s="330"/>
      <c r="U723" s="331"/>
      <c r="V723" s="247" t="e">
        <f>VLOOKUP(E723,Лист4!A$2:G$395,7,FALSE)</f>
        <v>#N/A</v>
      </c>
      <c r="W723" s="247">
        <f>IF(ISNA(V723),VLOOKUP(E723,категория!A$42:C$74,3,),6.94+R723*8.333/VLOOKUP(V723,категория!A$42:C$74,2,))</f>
        <v>2.78</v>
      </c>
    </row>
    <row r="724" spans="1:23" ht="15.75">
      <c r="A724" s="289">
        <v>43859.010416666664</v>
      </c>
      <c r="B724" s="289">
        <v>43859.024305555555</v>
      </c>
      <c r="C724" s="289">
        <f t="shared" si="34"/>
        <v>1.3888888890505768E-2</v>
      </c>
      <c r="D724" s="290">
        <v>4.1666666666666664E-2</v>
      </c>
      <c r="E724" s="329" t="s">
        <v>28</v>
      </c>
      <c r="F724" s="330"/>
      <c r="G724" s="330"/>
      <c r="H724" s="330"/>
      <c r="I724" s="330"/>
      <c r="J724" s="330"/>
      <c r="K724" s="330"/>
      <c r="L724" s="330"/>
      <c r="M724" s="330"/>
      <c r="N724" s="330"/>
      <c r="O724" s="330"/>
      <c r="P724" s="330"/>
      <c r="Q724" s="330"/>
      <c r="R724" s="330"/>
      <c r="S724" s="330"/>
      <c r="T724" s="330"/>
      <c r="U724" s="331"/>
      <c r="V724" s="247" t="e">
        <f>VLOOKUP(E724,Лист4!A$2:G$395,7,FALSE)</f>
        <v>#N/A</v>
      </c>
      <c r="W724" s="247">
        <f>IF(ISNA(V724),VLOOKUP(E724,категория!A$42:C$74,3,),6.94+R724*8.333/VLOOKUP(V724,категория!A$42:C$74,2,))</f>
        <v>8.3332999999999995</v>
      </c>
    </row>
    <row r="725" spans="1:23" ht="15.75">
      <c r="A725" s="289">
        <v>43859.024305555555</v>
      </c>
      <c r="B725" s="289">
        <v>43859.048611111109</v>
      </c>
      <c r="C725" s="289">
        <f t="shared" si="34"/>
        <v>2.4305555554747116E-2</v>
      </c>
      <c r="D725" s="290">
        <v>4.1666666666666664E-2</v>
      </c>
      <c r="E725" s="329" t="s">
        <v>172</v>
      </c>
      <c r="F725" s="330"/>
      <c r="G725" s="330"/>
      <c r="H725" s="330"/>
      <c r="I725" s="330"/>
      <c r="J725" s="330"/>
      <c r="K725" s="330"/>
      <c r="L725" s="330"/>
      <c r="M725" s="330"/>
      <c r="N725" s="330"/>
      <c r="O725" s="330"/>
      <c r="P725" s="330"/>
      <c r="Q725" s="330"/>
      <c r="R725" s="330"/>
      <c r="S725" s="330"/>
      <c r="T725" s="330"/>
      <c r="U725" s="331"/>
      <c r="V725" s="247" t="e">
        <f>VLOOKUP(E725,Лист4!A$2:G$395,7,FALSE)</f>
        <v>#N/A</v>
      </c>
      <c r="W725" s="247">
        <f>IF(ISNA(V725),VLOOKUP(E725,категория!A$42:C$74,3,),6.94+R725*8.333/VLOOKUP(V725,категория!A$42:C$74,2,))</f>
        <v>16.670000000000002</v>
      </c>
    </row>
    <row r="726" spans="1:23" ht="15.75">
      <c r="A726" s="289">
        <v>43859.048611111109</v>
      </c>
      <c r="B726" s="289">
        <v>43859.069444444445</v>
      </c>
      <c r="C726" s="289">
        <f t="shared" si="34"/>
        <v>2.0833333335758653E-2</v>
      </c>
      <c r="D726" s="290">
        <v>2.7777777777777776E-2</v>
      </c>
      <c r="E726" s="329" t="s">
        <v>29</v>
      </c>
      <c r="F726" s="330"/>
      <c r="G726" s="330"/>
      <c r="H726" s="330"/>
      <c r="I726" s="330"/>
      <c r="J726" s="330"/>
      <c r="K726" s="330"/>
      <c r="L726" s="330"/>
      <c r="M726" s="330"/>
      <c r="N726" s="330"/>
      <c r="O726" s="330"/>
      <c r="P726" s="330"/>
      <c r="Q726" s="330"/>
      <c r="R726" s="330"/>
      <c r="S726" s="330"/>
      <c r="T726" s="330"/>
      <c r="U726" s="331"/>
      <c r="V726" s="247" t="e">
        <f>VLOOKUP(E726,Лист4!A$2:G$395,7,FALSE)</f>
        <v>#N/A</v>
      </c>
      <c r="W726" s="247">
        <f>IF(ISNA(V726),VLOOKUP(E726,категория!A$42:C$74,3,),6.94+R726*8.333/VLOOKUP(V726,категория!A$42:C$74,2,))</f>
        <v>5.55</v>
      </c>
    </row>
    <row r="727" spans="1:23" ht="27" customHeight="1">
      <c r="A727" s="289">
        <v>43859.069444444445</v>
      </c>
      <c r="B727" s="289">
        <v>43859.097222222219</v>
      </c>
      <c r="C727" s="289">
        <f t="shared" si="34"/>
        <v>2.7777777773735579E-2</v>
      </c>
      <c r="D727" s="290">
        <v>4.1666666666666664E-2</v>
      </c>
      <c r="E727" s="329" t="s">
        <v>28</v>
      </c>
      <c r="F727" s="330"/>
      <c r="G727" s="330"/>
      <c r="H727" s="330"/>
      <c r="I727" s="330"/>
      <c r="J727" s="330"/>
      <c r="K727" s="330"/>
      <c r="L727" s="330"/>
      <c r="M727" s="330"/>
      <c r="N727" s="330"/>
      <c r="O727" s="330"/>
      <c r="P727" s="330"/>
      <c r="Q727" s="330"/>
      <c r="R727" s="330"/>
      <c r="S727" s="330"/>
      <c r="T727" s="330"/>
      <c r="U727" s="331"/>
      <c r="V727" s="247" t="e">
        <f>VLOOKUP(E727,Лист4!A$2:G$395,7,FALSE)</f>
        <v>#N/A</v>
      </c>
      <c r="W727" s="247">
        <f>IF(ISNA(V727),VLOOKUP(E727,категория!A$42:C$74,3,),6.94+R727*8.333/VLOOKUP(V727,категория!A$42:C$74,2,))*0.6667</f>
        <v>5.5558111099999996</v>
      </c>
    </row>
    <row r="728" spans="1:23" ht="15.75">
      <c r="A728" s="289">
        <v>43859.097222222219</v>
      </c>
      <c r="B728" s="289">
        <v>43859.125</v>
      </c>
      <c r="C728" s="289">
        <f t="shared" si="34"/>
        <v>2.7777777781011537E-2</v>
      </c>
      <c r="D728" s="290">
        <v>2.4305555555555556E-2</v>
      </c>
      <c r="E728" s="329" t="s">
        <v>171</v>
      </c>
      <c r="F728" s="330"/>
      <c r="G728" s="330"/>
      <c r="H728" s="330"/>
      <c r="I728" s="330"/>
      <c r="J728" s="330"/>
      <c r="K728" s="330"/>
      <c r="L728" s="330"/>
      <c r="M728" s="330"/>
      <c r="N728" s="330"/>
      <c r="O728" s="330"/>
      <c r="P728" s="330"/>
      <c r="Q728" s="330"/>
      <c r="R728" s="330"/>
      <c r="S728" s="330"/>
      <c r="T728" s="330"/>
      <c r="U728" s="331"/>
      <c r="V728" s="247" t="e">
        <f>VLOOKUP(E728,Лист4!A$2:G$395,7,FALSE)</f>
        <v>#N/A</v>
      </c>
      <c r="W728" s="247">
        <f>IF(ISNA(V728),VLOOKUP(E728,категория!A$42:C$74,3,),6.94+R728*8.333/VLOOKUP(V728,категория!A$42:C$74,2,))</f>
        <v>5.55</v>
      </c>
    </row>
    <row r="729" spans="1:23" ht="60">
      <c r="A729" s="289">
        <v>43859.125</v>
      </c>
      <c r="B729" s="289">
        <v>43859.149305555555</v>
      </c>
      <c r="C729" s="289">
        <f t="shared" si="34"/>
        <v>2.4305555554747116E-2</v>
      </c>
      <c r="D729" s="290">
        <v>2.4305555555555556E-2</v>
      </c>
      <c r="E729" s="291">
        <v>125</v>
      </c>
      <c r="F729" s="292" t="s">
        <v>234</v>
      </c>
      <c r="G729" s="292" t="s">
        <v>315</v>
      </c>
      <c r="H729" s="293" t="s">
        <v>273</v>
      </c>
      <c r="I729" s="294">
        <v>43853</v>
      </c>
      <c r="J729" s="295"/>
      <c r="K729" s="291" t="s">
        <v>256</v>
      </c>
      <c r="L729" s="296"/>
      <c r="M729" s="297" t="s">
        <v>276</v>
      </c>
      <c r="N729" s="292" t="s">
        <v>35</v>
      </c>
      <c r="O729" s="291">
        <v>0</v>
      </c>
      <c r="P729" s="291" t="s">
        <v>236</v>
      </c>
      <c r="Q729" s="298" t="s">
        <v>241</v>
      </c>
      <c r="R729" s="299">
        <v>1700</v>
      </c>
      <c r="S729" s="299">
        <v>1566</v>
      </c>
      <c r="T729" s="295" t="s">
        <v>232</v>
      </c>
      <c r="U729" s="299" t="s">
        <v>77</v>
      </c>
      <c r="V729" s="247" t="s">
        <v>286</v>
      </c>
      <c r="W729" s="247">
        <f>IF(ISNA(V729),VLOOKUP(E729,категория!A$42:C$74,3,),6.94/4+R729*8.333/VLOOKUP(V729,категория!A$42:C$74,2,))</f>
        <v>6.0277575757575761</v>
      </c>
    </row>
    <row r="730" spans="1:23" ht="15.75">
      <c r="A730" s="289">
        <v>43859.149305555555</v>
      </c>
      <c r="B730" s="289">
        <v>43859.15625</v>
      </c>
      <c r="C730" s="289">
        <f t="shared" si="34"/>
        <v>6.9444444452528842E-3</v>
      </c>
      <c r="D730" s="290">
        <v>1.0416666666666666E-2</v>
      </c>
      <c r="E730" s="329" t="s">
        <v>170</v>
      </c>
      <c r="F730" s="330"/>
      <c r="G730" s="330"/>
      <c r="H730" s="330"/>
      <c r="I730" s="330"/>
      <c r="J730" s="330"/>
      <c r="K730" s="330"/>
      <c r="L730" s="330"/>
      <c r="M730" s="330"/>
      <c r="N730" s="330"/>
      <c r="O730" s="330"/>
      <c r="P730" s="330"/>
      <c r="Q730" s="330"/>
      <c r="R730" s="330"/>
      <c r="S730" s="330"/>
      <c r="T730" s="330"/>
      <c r="U730" s="331"/>
      <c r="V730" s="247" t="e">
        <f>VLOOKUP(E730,Лист4!A$2:G$395,7,FALSE)</f>
        <v>#N/A</v>
      </c>
      <c r="W730" s="247">
        <f>IF(ISNA(V730),VLOOKUP(E730,категория!A$42:C$74,3,),6.94+R730*8.333/VLOOKUP(V730,категория!A$42:C$74,2,))</f>
        <v>2.085</v>
      </c>
    </row>
    <row r="731" spans="1:23" ht="15.75">
      <c r="A731" s="289">
        <v>43859.15625</v>
      </c>
      <c r="B731" s="289">
        <v>43859.166666666664</v>
      </c>
      <c r="C731" s="289">
        <f t="shared" si="34"/>
        <v>1.0416666664241347E-2</v>
      </c>
      <c r="D731" s="290">
        <v>4.1666666666666664E-2</v>
      </c>
      <c r="E731" s="329" t="s">
        <v>28</v>
      </c>
      <c r="F731" s="330"/>
      <c r="G731" s="330"/>
      <c r="H731" s="330"/>
      <c r="I731" s="330"/>
      <c r="J731" s="330"/>
      <c r="K731" s="330"/>
      <c r="L731" s="330"/>
      <c r="M731" s="330"/>
      <c r="N731" s="330"/>
      <c r="O731" s="330"/>
      <c r="P731" s="330"/>
      <c r="Q731" s="330"/>
      <c r="R731" s="330"/>
      <c r="S731" s="330"/>
      <c r="T731" s="330"/>
      <c r="U731" s="331"/>
      <c r="V731" s="247" t="e">
        <f>VLOOKUP(E731,Лист4!A$2:G$395,7,FALSE)</f>
        <v>#N/A</v>
      </c>
      <c r="W731" s="247">
        <f>IF(ISNA(V731),VLOOKUP(E731,категория!A$42:C$74,3,),6.94+R731*8.333/VLOOKUP(V731,категория!A$42:C$74,2,))*0.25</f>
        <v>2.0833249999999999</v>
      </c>
    </row>
    <row r="732" spans="1:23" ht="15.75">
      <c r="A732" s="289">
        <v>43859.166666666664</v>
      </c>
      <c r="B732" s="289">
        <v>43859.194444444445</v>
      </c>
      <c r="C732" s="289">
        <f t="shared" si="34"/>
        <v>2.7777777781011537E-2</v>
      </c>
      <c r="D732" s="290">
        <v>4.1666666666666664E-2</v>
      </c>
      <c r="E732" s="329" t="s">
        <v>172</v>
      </c>
      <c r="F732" s="330"/>
      <c r="G732" s="330"/>
      <c r="H732" s="330"/>
      <c r="I732" s="330"/>
      <c r="J732" s="330"/>
      <c r="K732" s="330"/>
      <c r="L732" s="330"/>
      <c r="M732" s="330"/>
      <c r="N732" s="330"/>
      <c r="O732" s="330"/>
      <c r="P732" s="330"/>
      <c r="Q732" s="330"/>
      <c r="R732" s="330"/>
      <c r="S732" s="330"/>
      <c r="T732" s="330"/>
      <c r="U732" s="331"/>
      <c r="V732" s="247" t="e">
        <f>VLOOKUP(E732,Лист4!A$2:G$395,7,FALSE)</f>
        <v>#N/A</v>
      </c>
      <c r="W732" s="247">
        <f>IF(ISNA(V732),VLOOKUP(E732,категория!A$42:C$74,3,),6.94+R732*8.333/VLOOKUP(V732,категория!A$42:C$74,2,))</f>
        <v>16.670000000000002</v>
      </c>
    </row>
    <row r="733" spans="1:23" ht="15.75">
      <c r="A733" s="289">
        <v>43859.194444444445</v>
      </c>
      <c r="B733" s="289">
        <v>43859.260416666664</v>
      </c>
      <c r="C733" s="289">
        <f t="shared" si="34"/>
        <v>6.5972222218988463E-2</v>
      </c>
      <c r="D733" s="290">
        <v>4.1666666666666664E-2</v>
      </c>
      <c r="E733" s="329" t="s">
        <v>28</v>
      </c>
      <c r="F733" s="330"/>
      <c r="G733" s="330"/>
      <c r="H733" s="330"/>
      <c r="I733" s="330"/>
      <c r="J733" s="330"/>
      <c r="K733" s="330"/>
      <c r="L733" s="330"/>
      <c r="M733" s="330"/>
      <c r="N733" s="330"/>
      <c r="O733" s="330"/>
      <c r="P733" s="330"/>
      <c r="Q733" s="330"/>
      <c r="R733" s="330"/>
      <c r="S733" s="330"/>
      <c r="T733" s="330"/>
      <c r="U733" s="331"/>
      <c r="V733" s="247" t="e">
        <f>VLOOKUP(E733,Лист4!A$2:G$395,7,FALSE)</f>
        <v>#N/A</v>
      </c>
      <c r="W733" s="247">
        <v>8.33</v>
      </c>
    </row>
    <row r="734" spans="1:23" ht="48">
      <c r="A734" s="289">
        <v>43859.260416666664</v>
      </c>
      <c r="B734" s="289">
        <v>43859.302083333336</v>
      </c>
      <c r="C734" s="289">
        <f t="shared" si="34"/>
        <v>4.1666666671517305E-2</v>
      </c>
      <c r="D734" s="290">
        <v>4.1666666666666664E-2</v>
      </c>
      <c r="E734" s="291">
        <v>160</v>
      </c>
      <c r="F734" s="292" t="s">
        <v>557</v>
      </c>
      <c r="G734" s="292" t="s">
        <v>558</v>
      </c>
      <c r="H734" s="293" t="s">
        <v>258</v>
      </c>
      <c r="I734" s="294">
        <v>43852</v>
      </c>
      <c r="J734" s="295"/>
      <c r="K734" s="291" t="s">
        <v>227</v>
      </c>
      <c r="L734" s="296"/>
      <c r="M734" s="297"/>
      <c r="N734" s="292" t="s">
        <v>35</v>
      </c>
      <c r="O734" s="291">
        <v>250</v>
      </c>
      <c r="P734" s="291" t="s">
        <v>272</v>
      </c>
      <c r="Q734" s="298" t="s">
        <v>229</v>
      </c>
      <c r="R734" s="299">
        <v>400</v>
      </c>
      <c r="S734" s="299">
        <v>1334</v>
      </c>
      <c r="T734" s="295" t="s">
        <v>232</v>
      </c>
      <c r="U734" s="299" t="s">
        <v>77</v>
      </c>
      <c r="V734" s="247" t="str">
        <f>VLOOKUP(E734,Лист4!A$2:G$395,7,FALSE)</f>
        <v>картон до 250</v>
      </c>
      <c r="W734" s="247">
        <f>IF(ISNA(V734),VLOOKUP(E734,категория!A$42:C$74,3,),6.94+R734*8.333/VLOOKUP(V734,категория!A$42:C$74,2,))</f>
        <v>7.9500606060606067</v>
      </c>
    </row>
    <row r="735" spans="1:23" ht="15.75">
      <c r="A735" s="289">
        <v>43859.302083333336</v>
      </c>
      <c r="B735" s="289">
        <v>43859.375</v>
      </c>
      <c r="C735" s="289">
        <f t="shared" si="34"/>
        <v>7.2916666664241347E-2</v>
      </c>
      <c r="D735" s="290">
        <v>4.1666666666666664E-2</v>
      </c>
      <c r="E735" s="329" t="s">
        <v>559</v>
      </c>
      <c r="F735" s="330"/>
      <c r="G735" s="330"/>
      <c r="H735" s="330"/>
      <c r="I735" s="330"/>
      <c r="J735" s="330"/>
      <c r="K735" s="330"/>
      <c r="L735" s="330"/>
      <c r="M735" s="330"/>
      <c r="N735" s="330"/>
      <c r="O735" s="330"/>
      <c r="P735" s="330"/>
      <c r="Q735" s="330"/>
      <c r="R735" s="330"/>
      <c r="S735" s="330"/>
      <c r="T735" s="330"/>
      <c r="U735" s="331"/>
      <c r="V735" s="247" t="e">
        <f>VLOOKUP(E735,Лист4!A$2:G$395,7,FALSE)</f>
        <v>#N/A</v>
      </c>
      <c r="W735" s="247">
        <v>8.3330000000000002</v>
      </c>
    </row>
    <row r="736" spans="1:23" ht="15.75">
      <c r="A736" s="300">
        <v>43859.333333333336</v>
      </c>
      <c r="B736" s="332" t="s">
        <v>560</v>
      </c>
      <c r="C736" s="333"/>
      <c r="D736" s="334"/>
      <c r="E736" s="334"/>
      <c r="F736" s="334"/>
      <c r="G736" s="334"/>
      <c r="H736" s="334"/>
      <c r="I736" s="334"/>
      <c r="J736" s="334"/>
      <c r="K736" s="334"/>
      <c r="L736" s="334"/>
      <c r="M736" s="334"/>
      <c r="N736" s="334"/>
      <c r="O736" s="334"/>
      <c r="P736" s="334"/>
      <c r="Q736" s="334"/>
      <c r="R736" s="334"/>
      <c r="S736" s="334"/>
      <c r="T736" s="334"/>
      <c r="U736" s="335"/>
      <c r="V736" s="247" t="e">
        <f>VLOOKUP(E736,Лист4!A$2:G$395,7,FALSE)</f>
        <v>#N/A</v>
      </c>
      <c r="W736" s="52">
        <f>SUM(W714:W735)</f>
        <v>140.54229621212122</v>
      </c>
    </row>
    <row r="737" spans="1:23" ht="15.75">
      <c r="A737" s="289">
        <v>43859.375</v>
      </c>
      <c r="B737" s="289">
        <v>43859.430555555555</v>
      </c>
      <c r="C737" s="289">
        <f>B737-A737</f>
        <v>5.5555555554747116E-2</v>
      </c>
      <c r="D737" s="290">
        <v>4.1666666666666664E-2</v>
      </c>
      <c r="E737" s="329" t="s">
        <v>561</v>
      </c>
      <c r="F737" s="330"/>
      <c r="G737" s="330"/>
      <c r="H737" s="330"/>
      <c r="I737" s="330"/>
      <c r="J737" s="330"/>
      <c r="K737" s="330"/>
      <c r="L737" s="330"/>
      <c r="M737" s="330"/>
      <c r="N737" s="330"/>
      <c r="O737" s="330"/>
      <c r="P737" s="330"/>
      <c r="Q737" s="330"/>
      <c r="R737" s="330"/>
      <c r="S737" s="330"/>
      <c r="T737" s="330"/>
      <c r="U737" s="331"/>
      <c r="V737" s="247" t="e">
        <f>VLOOKUP(E737,Лист4!A$2:G$395,7,FALSE)</f>
        <v>#N/A</v>
      </c>
      <c r="W737" s="247" t="e">
        <f>IF(ISNA(V737),VLOOKUP(E737,категория!A$42:C$74,3,),6.94+R737*8.333/VLOOKUP(V737,категория!A$42:C$74,2,))</f>
        <v>#N/A</v>
      </c>
    </row>
    <row r="738" spans="1:23" ht="48">
      <c r="A738" s="289">
        <v>43859.430555555555</v>
      </c>
      <c r="B738" s="289">
        <v>43859.447916666664</v>
      </c>
      <c r="C738" s="289">
        <f t="shared" ref="C738:C755" si="35">B738-A738</f>
        <v>1.7361111109494232E-2</v>
      </c>
      <c r="D738" s="290">
        <v>1.7361111111111112E-2</v>
      </c>
      <c r="E738" s="291">
        <v>160</v>
      </c>
      <c r="F738" s="292" t="s">
        <v>557</v>
      </c>
      <c r="G738" s="292" t="s">
        <v>558</v>
      </c>
      <c r="H738" s="293" t="s">
        <v>259</v>
      </c>
      <c r="I738" s="294">
        <v>43852</v>
      </c>
      <c r="J738" s="295"/>
      <c r="K738" s="291" t="s">
        <v>227</v>
      </c>
      <c r="L738" s="296"/>
      <c r="M738" s="297"/>
      <c r="N738" s="292" t="s">
        <v>35</v>
      </c>
      <c r="O738" s="291">
        <v>250</v>
      </c>
      <c r="P738" s="291" t="s">
        <v>272</v>
      </c>
      <c r="Q738" s="298" t="s">
        <v>229</v>
      </c>
      <c r="R738" s="299">
        <v>1260</v>
      </c>
      <c r="S738" s="299">
        <v>556</v>
      </c>
      <c r="T738" s="295" t="s">
        <v>232</v>
      </c>
      <c r="U738" s="299" t="s">
        <v>230</v>
      </c>
      <c r="V738" s="247" t="str">
        <f>VLOOKUP(E738,Лист4!A$2:G$395,7,FALSE)</f>
        <v>картон до 250</v>
      </c>
      <c r="W738" s="247">
        <f>IF(ISNA(V738),VLOOKUP(E738,категория!A$42:C$74,3,),R738*8.333/VLOOKUP(V738,категория!A$42:C$74,2,))</f>
        <v>3.1816909090909089</v>
      </c>
    </row>
    <row r="739" spans="1:23" ht="15.75">
      <c r="A739" s="289">
        <v>43859.447916666664</v>
      </c>
      <c r="B739" s="289">
        <v>43859.454861111109</v>
      </c>
      <c r="C739" s="289">
        <f t="shared" si="35"/>
        <v>6.9444444452528842E-3</v>
      </c>
      <c r="D739" s="290">
        <v>1.0416666666666666E-2</v>
      </c>
      <c r="E739" s="329" t="s">
        <v>170</v>
      </c>
      <c r="F739" s="330"/>
      <c r="G739" s="330"/>
      <c r="H739" s="330"/>
      <c r="I739" s="330"/>
      <c r="J739" s="330"/>
      <c r="K739" s="330"/>
      <c r="L739" s="330"/>
      <c r="M739" s="330"/>
      <c r="N739" s="330"/>
      <c r="O739" s="330"/>
      <c r="P739" s="330"/>
      <c r="Q739" s="330"/>
      <c r="R739" s="330"/>
      <c r="S739" s="330"/>
      <c r="T739" s="330"/>
      <c r="U739" s="331"/>
      <c r="V739" s="247" t="e">
        <f>VLOOKUP(E739,Лист4!A$2:G$395,7,FALSE)</f>
        <v>#N/A</v>
      </c>
      <c r="W739" s="247">
        <f>IF(ISNA(V739),VLOOKUP(E739,категория!A$42:C$74,3,),6.94+R739*8.333/VLOOKUP(V739,категория!A$42:C$74,2,))</f>
        <v>2.085</v>
      </c>
    </row>
    <row r="740" spans="1:23" ht="36">
      <c r="A740" s="289">
        <v>43859.454861111109</v>
      </c>
      <c r="B740" s="289">
        <v>43859.486111111109</v>
      </c>
      <c r="C740" s="289">
        <f t="shared" si="35"/>
        <v>3.125E-2</v>
      </c>
      <c r="D740" s="290">
        <v>3.125E-2</v>
      </c>
      <c r="E740" s="291">
        <v>190</v>
      </c>
      <c r="F740" s="292" t="s">
        <v>302</v>
      </c>
      <c r="G740" s="292" t="s">
        <v>562</v>
      </c>
      <c r="H740" s="293" t="s">
        <v>226</v>
      </c>
      <c r="I740" s="294">
        <v>43860</v>
      </c>
      <c r="J740" s="295"/>
      <c r="K740" s="291" t="s">
        <v>227</v>
      </c>
      <c r="L740" s="296"/>
      <c r="M740" s="297"/>
      <c r="N740" s="292" t="s">
        <v>35</v>
      </c>
      <c r="O740" s="291">
        <v>250</v>
      </c>
      <c r="P740" s="291" t="s">
        <v>272</v>
      </c>
      <c r="Q740" s="298" t="s">
        <v>229</v>
      </c>
      <c r="R740" s="299">
        <v>540</v>
      </c>
      <c r="S740" s="299">
        <v>782</v>
      </c>
      <c r="T740" s="295" t="s">
        <v>232</v>
      </c>
      <c r="U740" s="299" t="s">
        <v>230</v>
      </c>
      <c r="V740" s="247" t="str">
        <f>VLOOKUP(E740,Лист4!A$2:G$395,7,FALSE)</f>
        <v>картон до 250</v>
      </c>
      <c r="W740" s="247">
        <f>IF(ISNA(V740),VLOOKUP(E740,категория!A$42:C$74,3,),6.94+R740*8.333/VLOOKUP(V740,категория!A$42:C$74,2,))</f>
        <v>8.3035818181818186</v>
      </c>
    </row>
    <row r="741" spans="1:23" ht="15.75">
      <c r="A741" s="289">
        <v>43859.486111111109</v>
      </c>
      <c r="B741" s="289">
        <v>43859.527777777781</v>
      </c>
      <c r="C741" s="289">
        <f t="shared" si="35"/>
        <v>4.1666666671517305E-2</v>
      </c>
      <c r="D741" s="290">
        <v>4.1666666666666664E-2</v>
      </c>
      <c r="E741" s="329" t="s">
        <v>28</v>
      </c>
      <c r="F741" s="330"/>
      <c r="G741" s="330"/>
      <c r="H741" s="330"/>
      <c r="I741" s="330"/>
      <c r="J741" s="330"/>
      <c r="K741" s="330"/>
      <c r="L741" s="330"/>
      <c r="M741" s="330"/>
      <c r="N741" s="330"/>
      <c r="O741" s="330"/>
      <c r="P741" s="330"/>
      <c r="Q741" s="330"/>
      <c r="R741" s="330"/>
      <c r="S741" s="330"/>
      <c r="T741" s="330"/>
      <c r="U741" s="331"/>
      <c r="V741" s="247" t="e">
        <f>VLOOKUP(E741,Лист4!A$2:G$395,7,FALSE)</f>
        <v>#N/A</v>
      </c>
      <c r="W741" s="247">
        <f>IF(ISNA(V741),VLOOKUP(E741,категория!A$42:C$74,3,),6.94+R741*8.333/VLOOKUP(V741,категория!A$42:C$74,2,))</f>
        <v>8.3332999999999995</v>
      </c>
    </row>
    <row r="742" spans="1:23" ht="15.75">
      <c r="A742" s="289">
        <v>43859.527777777781</v>
      </c>
      <c r="B742" s="289">
        <v>43859.545138888891</v>
      </c>
      <c r="C742" s="289">
        <f t="shared" si="35"/>
        <v>1.7361111109494232E-2</v>
      </c>
      <c r="D742" s="290">
        <v>1.7361111111111112E-2</v>
      </c>
      <c r="E742" s="329" t="s">
        <v>3</v>
      </c>
      <c r="F742" s="330"/>
      <c r="G742" s="330"/>
      <c r="H742" s="330"/>
      <c r="I742" s="330"/>
      <c r="J742" s="330"/>
      <c r="K742" s="330"/>
      <c r="L742" s="330"/>
      <c r="M742" s="330"/>
      <c r="N742" s="330"/>
      <c r="O742" s="330"/>
      <c r="P742" s="330"/>
      <c r="Q742" s="330"/>
      <c r="R742" s="330"/>
      <c r="S742" s="330"/>
      <c r="T742" s="330"/>
      <c r="U742" s="331"/>
      <c r="V742" s="247" t="e">
        <f>VLOOKUP(E742,Лист4!A$2:G$395,7,FALSE)</f>
        <v>#N/A</v>
      </c>
      <c r="W742" s="247">
        <f>IF(ISNA(V742),VLOOKUP(E742,категория!A$42:C$74,3,),6.94+R742*8.333/VLOOKUP(V742,категория!A$42:C$74,2,))</f>
        <v>4.17</v>
      </c>
    </row>
    <row r="743" spans="1:23" ht="15.75">
      <c r="A743" s="289">
        <v>43859.545138888891</v>
      </c>
      <c r="B743" s="289">
        <v>43859.559027777781</v>
      </c>
      <c r="C743" s="289">
        <f t="shared" si="35"/>
        <v>1.3888888890505768E-2</v>
      </c>
      <c r="D743" s="290">
        <v>2.0833333333333332E-2</v>
      </c>
      <c r="E743" s="329" t="s">
        <v>8</v>
      </c>
      <c r="F743" s="330"/>
      <c r="G743" s="330"/>
      <c r="H743" s="330"/>
      <c r="I743" s="330"/>
      <c r="J743" s="330"/>
      <c r="K743" s="330"/>
      <c r="L743" s="330"/>
      <c r="M743" s="330"/>
      <c r="N743" s="330"/>
      <c r="O743" s="330"/>
      <c r="P743" s="330"/>
      <c r="Q743" s="330"/>
      <c r="R743" s="330"/>
      <c r="S743" s="330"/>
      <c r="T743" s="330"/>
      <c r="U743" s="331"/>
      <c r="V743" s="247" t="e">
        <f>VLOOKUP(E743,Лист4!A$2:G$395,7,FALSE)</f>
        <v>#N/A</v>
      </c>
      <c r="W743" s="247">
        <f>IF(ISNA(V743),VLOOKUP(E743,категория!A$42:C$74,3,),6.94+R743*8.333/VLOOKUP(V743,категория!A$42:C$74,2,))</f>
        <v>4.17</v>
      </c>
    </row>
    <row r="744" spans="1:23" ht="15.75">
      <c r="A744" s="289">
        <v>43859.559027777781</v>
      </c>
      <c r="B744" s="289">
        <v>43859.579861111109</v>
      </c>
      <c r="C744" s="289">
        <f t="shared" si="35"/>
        <v>2.0833333328482695E-2</v>
      </c>
      <c r="D744" s="290">
        <v>2.0833333333333332E-2</v>
      </c>
      <c r="E744" s="329" t="s">
        <v>23</v>
      </c>
      <c r="F744" s="330"/>
      <c r="G744" s="330"/>
      <c r="H744" s="330"/>
      <c r="I744" s="330"/>
      <c r="J744" s="330"/>
      <c r="K744" s="330"/>
      <c r="L744" s="330"/>
      <c r="M744" s="330"/>
      <c r="N744" s="330"/>
      <c r="O744" s="330"/>
      <c r="P744" s="330"/>
      <c r="Q744" s="330"/>
      <c r="R744" s="330"/>
      <c r="S744" s="330"/>
      <c r="T744" s="330"/>
      <c r="U744" s="331"/>
      <c r="V744" s="247" t="e">
        <f>VLOOKUP(E744,Лист4!A$2:G$395,7,FALSE)</f>
        <v>#N/A</v>
      </c>
      <c r="W744" s="247">
        <f>IF(ISNA(V744),VLOOKUP(E744,категория!A$42:C$74,3,),6.94+R744*8.333/VLOOKUP(V744,категория!A$42:C$74,2,))</f>
        <v>2.78</v>
      </c>
    </row>
    <row r="745" spans="1:23" ht="15.75">
      <c r="A745" s="289">
        <v>43859.579861111109</v>
      </c>
      <c r="B745" s="289">
        <v>43859.631944444445</v>
      </c>
      <c r="C745" s="289">
        <f t="shared" si="35"/>
        <v>5.2083333335758653E-2</v>
      </c>
      <c r="D745" s="290">
        <v>4.1666666666666664E-2</v>
      </c>
      <c r="E745" s="329" t="s">
        <v>28</v>
      </c>
      <c r="F745" s="330"/>
      <c r="G745" s="330"/>
      <c r="H745" s="330"/>
      <c r="I745" s="330"/>
      <c r="J745" s="330"/>
      <c r="K745" s="330"/>
      <c r="L745" s="330"/>
      <c r="M745" s="330"/>
      <c r="N745" s="330"/>
      <c r="O745" s="330"/>
      <c r="P745" s="330"/>
      <c r="Q745" s="330"/>
      <c r="R745" s="330"/>
      <c r="S745" s="330"/>
      <c r="T745" s="330"/>
      <c r="U745" s="331"/>
      <c r="V745" s="247" t="e">
        <f>VLOOKUP(E745,Лист4!A$2:G$395,7,FALSE)</f>
        <v>#N/A</v>
      </c>
      <c r="W745" s="247">
        <f>IF(ISNA(V745),VLOOKUP(E745,категория!A$42:C$74,3,),6.94+R745*8.333/VLOOKUP(V745,категория!A$42:C$74,2,))*1.25</f>
        <v>10.416625</v>
      </c>
    </row>
    <row r="746" spans="1:23" ht="48">
      <c r="A746" s="289">
        <v>43859.631944444445</v>
      </c>
      <c r="B746" s="289">
        <v>43859.652777777781</v>
      </c>
      <c r="C746" s="289">
        <f t="shared" si="35"/>
        <v>2.0833333335758653E-2</v>
      </c>
      <c r="D746" s="290">
        <v>2.0833333333333332E-2</v>
      </c>
      <c r="E746" s="291">
        <v>160</v>
      </c>
      <c r="F746" s="292" t="s">
        <v>557</v>
      </c>
      <c r="G746" s="292" t="s">
        <v>558</v>
      </c>
      <c r="H746" s="293" t="s">
        <v>273</v>
      </c>
      <c r="I746" s="294">
        <v>43852</v>
      </c>
      <c r="J746" s="295"/>
      <c r="K746" s="291" t="s">
        <v>256</v>
      </c>
      <c r="L746" s="296" t="s">
        <v>232</v>
      </c>
      <c r="M746" s="297"/>
      <c r="N746" s="292" t="s">
        <v>35</v>
      </c>
      <c r="O746" s="291">
        <v>250</v>
      </c>
      <c r="P746" s="291" t="s">
        <v>272</v>
      </c>
      <c r="Q746" s="298" t="s">
        <v>241</v>
      </c>
      <c r="R746" s="299">
        <v>1680</v>
      </c>
      <c r="S746" s="299">
        <v>1582</v>
      </c>
      <c r="T746" s="295" t="s">
        <v>232</v>
      </c>
      <c r="U746" s="299" t="s">
        <v>230</v>
      </c>
      <c r="V746" s="247" t="str">
        <f>VLOOKUP(E746,Лист4!A$2:G$395,7,FALSE)</f>
        <v>картон до 250</v>
      </c>
      <c r="W746" s="247">
        <f>IF(ISNA(V746),VLOOKUP(E746,категория!A$42:C$74,3,),6.94/4+R746*8.333/VLOOKUP(V746,категория!A$42:C$74,2,))</f>
        <v>5.9772545454545458</v>
      </c>
    </row>
    <row r="747" spans="1:23" ht="15.75">
      <c r="A747" s="289">
        <v>43859.652777777781</v>
      </c>
      <c r="B747" s="289">
        <v>43859.659722222219</v>
      </c>
      <c r="C747" s="289">
        <f t="shared" si="35"/>
        <v>6.9444444379769266E-3</v>
      </c>
      <c r="D747" s="290">
        <v>1.0416666666666666E-2</v>
      </c>
      <c r="E747" s="329" t="s">
        <v>170</v>
      </c>
      <c r="F747" s="330"/>
      <c r="G747" s="330"/>
      <c r="H747" s="330"/>
      <c r="I747" s="330"/>
      <c r="J747" s="330"/>
      <c r="K747" s="330"/>
      <c r="L747" s="330"/>
      <c r="M747" s="330"/>
      <c r="N747" s="330"/>
      <c r="O747" s="330"/>
      <c r="P747" s="330"/>
      <c r="Q747" s="330"/>
      <c r="R747" s="330"/>
      <c r="S747" s="330"/>
      <c r="T747" s="330"/>
      <c r="U747" s="331"/>
      <c r="V747" s="247" t="e">
        <f>VLOOKUP(E747,Лист4!A$2:G$395,7,FALSE)</f>
        <v>#N/A</v>
      </c>
      <c r="W747" s="247">
        <f>IF(ISNA(V747),VLOOKUP(E747,категория!A$42:C$74,3,),6.94+R747*8.333/VLOOKUP(V747,категория!A$42:C$74,2,))</f>
        <v>2.085</v>
      </c>
    </row>
    <row r="748" spans="1:23" ht="36">
      <c r="A748" s="289">
        <v>43859.659722222219</v>
      </c>
      <c r="B748" s="289">
        <v>43859.6875</v>
      </c>
      <c r="C748" s="289">
        <f t="shared" si="35"/>
        <v>2.7777777781011537E-2</v>
      </c>
      <c r="D748" s="290">
        <v>2.7777777777777776E-2</v>
      </c>
      <c r="E748" s="291">
        <v>190</v>
      </c>
      <c r="F748" s="292" t="s">
        <v>302</v>
      </c>
      <c r="G748" s="292" t="s">
        <v>562</v>
      </c>
      <c r="H748" s="293" t="s">
        <v>273</v>
      </c>
      <c r="I748" s="294">
        <v>43860</v>
      </c>
      <c r="J748" s="295"/>
      <c r="K748" s="291" t="s">
        <v>256</v>
      </c>
      <c r="L748" s="296" t="s">
        <v>232</v>
      </c>
      <c r="M748" s="297"/>
      <c r="N748" s="292" t="s">
        <v>35</v>
      </c>
      <c r="O748" s="291">
        <v>0</v>
      </c>
      <c r="P748" s="291" t="s">
        <v>272</v>
      </c>
      <c r="Q748" s="298" t="s">
        <v>241</v>
      </c>
      <c r="R748" s="299">
        <v>630</v>
      </c>
      <c r="S748" s="299">
        <v>567</v>
      </c>
      <c r="T748" s="295" t="s">
        <v>232</v>
      </c>
      <c r="U748" s="299" t="s">
        <v>230</v>
      </c>
      <c r="V748" s="247" t="str">
        <f>VLOOKUP(E748,Лист4!A$2:G$395,7,FALSE)</f>
        <v>картон до 250</v>
      </c>
      <c r="W748" s="247">
        <f>IF(ISNA(V748),VLOOKUP(E748,категория!A$42:C$74,3,),6.94/4+R748*8.333/VLOOKUP(V748,категория!A$42:C$74,2,))</f>
        <v>3.3258454545454548</v>
      </c>
    </row>
    <row r="749" spans="1:23" ht="15.75">
      <c r="A749" s="289">
        <v>43859.6875</v>
      </c>
      <c r="B749" s="289">
        <v>43859.694444444445</v>
      </c>
      <c r="C749" s="289">
        <f t="shared" si="35"/>
        <v>6.9444444452528842E-3</v>
      </c>
      <c r="D749" s="290">
        <v>1.0416666666666666E-2</v>
      </c>
      <c r="E749" s="329" t="s">
        <v>170</v>
      </c>
      <c r="F749" s="330"/>
      <c r="G749" s="330"/>
      <c r="H749" s="330"/>
      <c r="I749" s="330"/>
      <c r="J749" s="330"/>
      <c r="K749" s="330"/>
      <c r="L749" s="330"/>
      <c r="M749" s="330"/>
      <c r="N749" s="330"/>
      <c r="O749" s="330"/>
      <c r="P749" s="330"/>
      <c r="Q749" s="330"/>
      <c r="R749" s="330"/>
      <c r="S749" s="330"/>
      <c r="T749" s="330"/>
      <c r="U749" s="331"/>
      <c r="V749" s="247" t="e">
        <f>VLOOKUP(E749,Лист4!A$2:G$395,7,FALSE)</f>
        <v>#N/A</v>
      </c>
      <c r="W749" s="247">
        <f>IF(ISNA(V749),VLOOKUP(E749,категория!A$42:C$74,3,),6.94+R749*8.333/VLOOKUP(V749,категория!A$42:C$74,2,))</f>
        <v>2.085</v>
      </c>
    </row>
    <row r="750" spans="1:23" ht="15.75">
      <c r="A750" s="289">
        <v>43859.694444444445</v>
      </c>
      <c r="B750" s="289">
        <v>43859.711805555555</v>
      </c>
      <c r="C750" s="289">
        <f t="shared" si="35"/>
        <v>1.7361111109494232E-2</v>
      </c>
      <c r="D750" s="290">
        <v>1.7361111111111112E-2</v>
      </c>
      <c r="E750" s="329" t="s">
        <v>3</v>
      </c>
      <c r="F750" s="330"/>
      <c r="G750" s="330"/>
      <c r="H750" s="330"/>
      <c r="I750" s="330"/>
      <c r="J750" s="330"/>
      <c r="K750" s="330"/>
      <c r="L750" s="330"/>
      <c r="M750" s="330"/>
      <c r="N750" s="330"/>
      <c r="O750" s="330"/>
      <c r="P750" s="330"/>
      <c r="Q750" s="330"/>
      <c r="R750" s="330"/>
      <c r="S750" s="330"/>
      <c r="T750" s="330"/>
      <c r="U750" s="331"/>
      <c r="V750" s="247" t="e">
        <f>VLOOKUP(E750,Лист4!A$2:G$395,7,FALSE)</f>
        <v>#N/A</v>
      </c>
      <c r="W750" s="247">
        <f>IF(ISNA(V750),VLOOKUP(E750,категория!A$42:C$74,3,),6.94+R750*8.333/VLOOKUP(V750,категория!A$42:C$74,2,))</f>
        <v>4.17</v>
      </c>
    </row>
    <row r="751" spans="1:23" ht="15.75">
      <c r="A751" s="289">
        <v>43859.711805555555</v>
      </c>
      <c r="B751" s="289">
        <v>43859.722222222219</v>
      </c>
      <c r="C751" s="289">
        <f t="shared" si="35"/>
        <v>1.0416666664241347E-2</v>
      </c>
      <c r="D751" s="290">
        <v>2.0833333333333332E-2</v>
      </c>
      <c r="E751" s="329" t="s">
        <v>8</v>
      </c>
      <c r="F751" s="330"/>
      <c r="G751" s="330"/>
      <c r="H751" s="330"/>
      <c r="I751" s="330"/>
      <c r="J751" s="330"/>
      <c r="K751" s="330"/>
      <c r="L751" s="330"/>
      <c r="M751" s="330"/>
      <c r="N751" s="330"/>
      <c r="O751" s="330"/>
      <c r="P751" s="330"/>
      <c r="Q751" s="330"/>
      <c r="R751" s="330"/>
      <c r="S751" s="330"/>
      <c r="T751" s="330"/>
      <c r="U751" s="331"/>
      <c r="V751" s="247" t="e">
        <f>VLOOKUP(E751,Лист4!A$2:G$395,7,FALSE)</f>
        <v>#N/A</v>
      </c>
      <c r="W751" s="247">
        <f>IF(ISNA(V751),VLOOKUP(E751,категория!A$42:C$74,3,),6.94+R751*8.333/VLOOKUP(V751,категория!A$42:C$74,2,))</f>
        <v>4.17</v>
      </c>
    </row>
    <row r="752" spans="1:23" ht="15.75">
      <c r="A752" s="289">
        <v>43859.722222222219</v>
      </c>
      <c r="B752" s="289">
        <v>43859.743055555555</v>
      </c>
      <c r="C752" s="289">
        <f t="shared" si="35"/>
        <v>2.0833333335758653E-2</v>
      </c>
      <c r="D752" s="290">
        <v>2.0833333333333332E-2</v>
      </c>
      <c r="E752" s="329" t="s">
        <v>2</v>
      </c>
      <c r="F752" s="330"/>
      <c r="G752" s="330"/>
      <c r="H752" s="330"/>
      <c r="I752" s="330"/>
      <c r="J752" s="330"/>
      <c r="K752" s="330"/>
      <c r="L752" s="330"/>
      <c r="M752" s="330"/>
      <c r="N752" s="330"/>
      <c r="O752" s="330"/>
      <c r="P752" s="330"/>
      <c r="Q752" s="330"/>
      <c r="R752" s="330"/>
      <c r="S752" s="330"/>
      <c r="T752" s="330"/>
      <c r="U752" s="331"/>
      <c r="V752" s="247" t="e">
        <f>VLOOKUP(E752,Лист4!A$2:G$395,7,FALSE)</f>
        <v>#N/A</v>
      </c>
      <c r="W752" s="247">
        <f>IF(ISNA(V752),VLOOKUP(E752,категория!A$42:C$74,3,),6.94+R752*8.333/VLOOKUP(V752,категория!A$42:C$74,2,))</f>
        <v>4.17</v>
      </c>
    </row>
    <row r="753" spans="1:23" ht="15.75">
      <c r="A753" s="289">
        <v>43859.743055555555</v>
      </c>
      <c r="B753" s="289">
        <v>43859.75</v>
      </c>
      <c r="C753" s="289">
        <f t="shared" si="35"/>
        <v>6.9444444452528842E-3</v>
      </c>
      <c r="D753" s="290">
        <v>4.1666666666666664E-2</v>
      </c>
      <c r="E753" s="329" t="s">
        <v>28</v>
      </c>
      <c r="F753" s="330"/>
      <c r="G753" s="330"/>
      <c r="H753" s="330"/>
      <c r="I753" s="330"/>
      <c r="J753" s="330"/>
      <c r="K753" s="330"/>
      <c r="L753" s="330"/>
      <c r="M753" s="330"/>
      <c r="N753" s="330"/>
      <c r="O753" s="330"/>
      <c r="P753" s="330"/>
      <c r="Q753" s="330"/>
      <c r="R753" s="330"/>
      <c r="S753" s="330"/>
      <c r="T753" s="330"/>
      <c r="U753" s="331"/>
      <c r="V753" s="247" t="e">
        <f>VLOOKUP(E753,Лист4!A$2:G$395,7,FALSE)</f>
        <v>#N/A</v>
      </c>
      <c r="W753" s="247">
        <f>IF(ISNA(V753),VLOOKUP(E753,категория!A$42:C$74,3,),6.94+R753*8.333/VLOOKUP(V753,категория!A$42:C$74,2,))*0.16</f>
        <v>1.3333279999999998</v>
      </c>
    </row>
    <row r="754" spans="1:23" ht="60">
      <c r="A754" s="289">
        <v>43859.75</v>
      </c>
      <c r="B754" s="289">
        <v>43859.784722222219</v>
      </c>
      <c r="C754" s="289">
        <f t="shared" si="35"/>
        <v>3.4722222218988463E-2</v>
      </c>
      <c r="D754" s="290">
        <v>3.4722222222222224E-2</v>
      </c>
      <c r="E754" s="291">
        <v>227</v>
      </c>
      <c r="F754" s="292" t="s">
        <v>563</v>
      </c>
      <c r="G754" s="292" t="s">
        <v>564</v>
      </c>
      <c r="H754" s="293" t="s">
        <v>258</v>
      </c>
      <c r="I754" s="294">
        <v>43866</v>
      </c>
      <c r="J754" s="295"/>
      <c r="K754" s="291" t="s">
        <v>227</v>
      </c>
      <c r="L754" s="296"/>
      <c r="M754" s="297"/>
      <c r="N754" s="292" t="s">
        <v>35</v>
      </c>
      <c r="O754" s="291">
        <v>300</v>
      </c>
      <c r="P754" s="291" t="s">
        <v>236</v>
      </c>
      <c r="Q754" s="298" t="s">
        <v>229</v>
      </c>
      <c r="R754" s="299">
        <v>1570</v>
      </c>
      <c r="S754" s="299">
        <v>4004</v>
      </c>
      <c r="T754" s="295" t="s">
        <v>232</v>
      </c>
      <c r="U754" s="299" t="s">
        <v>230</v>
      </c>
      <c r="V754" s="247" t="str">
        <f>VLOOKUP(E754,Лист4!A$2:G$395,7,FALSE)</f>
        <v>картон от 270</v>
      </c>
      <c r="W754" s="247">
        <f>IF(ISNA(V754),VLOOKUP(E754,категория!A$42:C$74,3,),6.94+R754*8.333/VLOOKUP(V754,категория!A$42:C$74,2,))</f>
        <v>11.451313793103449</v>
      </c>
    </row>
    <row r="755" spans="1:23" ht="15.75">
      <c r="A755" s="289">
        <v>43859.784722222219</v>
      </c>
      <c r="B755" s="289">
        <v>43859.833333333336</v>
      </c>
      <c r="C755" s="289">
        <f t="shared" si="35"/>
        <v>4.8611111116770189E-2</v>
      </c>
      <c r="D755" s="290">
        <v>4.1666666666666664E-2</v>
      </c>
      <c r="E755" s="329" t="s">
        <v>28</v>
      </c>
      <c r="F755" s="330"/>
      <c r="G755" s="330"/>
      <c r="H755" s="330"/>
      <c r="I755" s="330"/>
      <c r="J755" s="330"/>
      <c r="K755" s="330"/>
      <c r="L755" s="330"/>
      <c r="M755" s="330"/>
      <c r="N755" s="330"/>
      <c r="O755" s="330"/>
      <c r="P755" s="330"/>
      <c r="Q755" s="330"/>
      <c r="R755" s="330"/>
      <c r="S755" s="330"/>
      <c r="T755" s="330"/>
      <c r="U755" s="331"/>
      <c r="V755" s="247" t="e">
        <f>VLOOKUP(E755,Лист4!A$2:G$395,7,FALSE)</f>
        <v>#N/A</v>
      </c>
      <c r="W755" s="247">
        <f>IF(ISNA(V755),VLOOKUP(E755,категория!A$42:C$74,3,),6.94+R755*8.333/VLOOKUP(V755,категория!A$42:C$74,2,))*1.16</f>
        <v>9.6666279999999993</v>
      </c>
    </row>
    <row r="756" spans="1:23" ht="15.75">
      <c r="A756" s="300">
        <v>43859.833333333336</v>
      </c>
      <c r="B756" s="332" t="s">
        <v>565</v>
      </c>
      <c r="C756" s="333"/>
      <c r="D756" s="334"/>
      <c r="E756" s="334"/>
      <c r="F756" s="334"/>
      <c r="G756" s="334"/>
      <c r="H756" s="334"/>
      <c r="I756" s="334"/>
      <c r="J756" s="334"/>
      <c r="K756" s="334"/>
      <c r="L756" s="334"/>
      <c r="M756" s="334"/>
      <c r="N756" s="334"/>
      <c r="O756" s="334"/>
      <c r="P756" s="334"/>
      <c r="Q756" s="334"/>
      <c r="R756" s="334"/>
      <c r="S756" s="334"/>
      <c r="T756" s="334"/>
      <c r="U756" s="335"/>
      <c r="V756" s="247" t="e">
        <f>VLOOKUP(E756,Лист4!A$2:G$395,7,FALSE)</f>
        <v>#N/A</v>
      </c>
      <c r="W756" s="52">
        <f>SUM(W738:W755)</f>
        <v>91.874567520376175</v>
      </c>
    </row>
    <row r="757" spans="1:23" ht="15.75">
      <c r="A757" s="289">
        <v>43859.833333333336</v>
      </c>
      <c r="B757" s="289">
        <v>43859.854166666664</v>
      </c>
      <c r="C757" s="289">
        <f>B757-A757</f>
        <v>2.0833333328482695E-2</v>
      </c>
      <c r="D757" s="290">
        <v>2.0833333333333332E-2</v>
      </c>
      <c r="E757" s="329" t="s">
        <v>22</v>
      </c>
      <c r="F757" s="330"/>
      <c r="G757" s="330"/>
      <c r="H757" s="330"/>
      <c r="I757" s="330"/>
      <c r="J757" s="330"/>
      <c r="K757" s="330"/>
      <c r="L757" s="330"/>
      <c r="M757" s="330"/>
      <c r="N757" s="330"/>
      <c r="O757" s="330"/>
      <c r="P757" s="330"/>
      <c r="Q757" s="330"/>
      <c r="R757" s="330"/>
      <c r="S757" s="330"/>
      <c r="T757" s="330"/>
      <c r="U757" s="331"/>
      <c r="V757" s="247" t="e">
        <f>VLOOKUP(E757,Лист4!A$2:G$395,7,FALSE)</f>
        <v>#N/A</v>
      </c>
      <c r="W757" s="247">
        <f>IF(ISNA(V757),VLOOKUP(E757,категория!A$42:C$74,3,),6.94+R757*8.333/VLOOKUP(V757,категория!A$42:C$74,2,))</f>
        <v>4.17</v>
      </c>
    </row>
    <row r="758" spans="1:23" ht="60">
      <c r="A758" s="289">
        <v>43859.854166666664</v>
      </c>
      <c r="B758" s="289">
        <v>43859.868055555555</v>
      </c>
      <c r="C758" s="289">
        <f t="shared" ref="C758:C774" si="36">B758-A758</f>
        <v>1.3888888890505768E-2</v>
      </c>
      <c r="D758" s="290">
        <v>1.3888888888888888E-2</v>
      </c>
      <c r="E758" s="291">
        <v>227</v>
      </c>
      <c r="F758" s="292" t="s">
        <v>563</v>
      </c>
      <c r="G758" s="292" t="s">
        <v>564</v>
      </c>
      <c r="H758" s="293" t="s">
        <v>259</v>
      </c>
      <c r="I758" s="294">
        <v>43866</v>
      </c>
      <c r="J758" s="295"/>
      <c r="K758" s="291" t="s">
        <v>227</v>
      </c>
      <c r="L758" s="296"/>
      <c r="M758" s="297"/>
      <c r="N758" s="292" t="s">
        <v>35</v>
      </c>
      <c r="O758" s="291">
        <v>300</v>
      </c>
      <c r="P758" s="291" t="s">
        <v>236</v>
      </c>
      <c r="Q758" s="298" t="s">
        <v>229</v>
      </c>
      <c r="R758" s="299">
        <v>3800</v>
      </c>
      <c r="S758" s="299">
        <v>1601</v>
      </c>
      <c r="T758" s="295" t="s">
        <v>232</v>
      </c>
      <c r="U758" s="299" t="s">
        <v>77</v>
      </c>
      <c r="V758" s="247" t="str">
        <f>VLOOKUP(E758,Лист4!A$2:G$395,7,FALSE)</f>
        <v>картон от 270</v>
      </c>
      <c r="W758" s="247">
        <f>IF(ISNA(V758),VLOOKUP(E758,категория!A$42:C$74,3,),R758*8.333/VLOOKUP(V758,категория!A$42:C$74,2,))</f>
        <v>10.919103448275862</v>
      </c>
    </row>
    <row r="759" spans="1:23" ht="15.75">
      <c r="A759" s="289">
        <v>43859.868055555555</v>
      </c>
      <c r="B759" s="289">
        <v>43859.944444444445</v>
      </c>
      <c r="C759" s="289">
        <f t="shared" si="36"/>
        <v>7.6388888890505768E-2</v>
      </c>
      <c r="D759" s="290">
        <v>7.6388888888888895E-2</v>
      </c>
      <c r="E759" s="329" t="s">
        <v>28</v>
      </c>
      <c r="F759" s="330"/>
      <c r="G759" s="330"/>
      <c r="H759" s="330"/>
      <c r="I759" s="330"/>
      <c r="J759" s="330"/>
      <c r="K759" s="330"/>
      <c r="L759" s="330"/>
      <c r="M759" s="330"/>
      <c r="N759" s="330"/>
      <c r="O759" s="330"/>
      <c r="P759" s="330"/>
      <c r="Q759" s="330"/>
      <c r="R759" s="330"/>
      <c r="S759" s="330"/>
      <c r="T759" s="330"/>
      <c r="U759" s="331"/>
      <c r="V759" s="247" t="e">
        <f>VLOOKUP(E759,Лист4!A$2:G$395,7,FALSE)</f>
        <v>#N/A</v>
      </c>
      <c r="W759" s="247">
        <f>IF(ISNA(V759),VLOOKUP(E759,категория!A$42:C$74,3,),6.94+R759*8.333/VLOOKUP(V759,категория!A$42:C$74,2,))*1.86</f>
        <v>15.499938</v>
      </c>
    </row>
    <row r="760" spans="1:23" ht="60">
      <c r="A760" s="289">
        <v>43859.944444444445</v>
      </c>
      <c r="B760" s="289">
        <v>43859.979166666664</v>
      </c>
      <c r="C760" s="289">
        <f t="shared" si="36"/>
        <v>3.4722222218988463E-2</v>
      </c>
      <c r="D760" s="290">
        <v>3.4722222222222224E-2</v>
      </c>
      <c r="E760" s="291">
        <v>222</v>
      </c>
      <c r="F760" s="292" t="s">
        <v>566</v>
      </c>
      <c r="G760" s="292" t="s">
        <v>567</v>
      </c>
      <c r="H760" s="293" t="s">
        <v>226</v>
      </c>
      <c r="I760" s="294">
        <v>43858</v>
      </c>
      <c r="J760" s="295"/>
      <c r="K760" s="291" t="s">
        <v>227</v>
      </c>
      <c r="L760" s="296"/>
      <c r="M760" s="297"/>
      <c r="N760" s="292" t="s">
        <v>35</v>
      </c>
      <c r="O760" s="291">
        <v>250</v>
      </c>
      <c r="P760" s="291" t="s">
        <v>236</v>
      </c>
      <c r="Q760" s="298" t="s">
        <v>229</v>
      </c>
      <c r="R760" s="299">
        <v>400</v>
      </c>
      <c r="S760" s="299">
        <v>553</v>
      </c>
      <c r="T760" s="295" t="s">
        <v>232</v>
      </c>
      <c r="U760" s="299" t="s">
        <v>77</v>
      </c>
      <c r="V760" s="247" t="str">
        <f>VLOOKUP(E760,Лист4!A$2:G$395,7,FALSE)</f>
        <v>картон до 250</v>
      </c>
      <c r="W760" s="247">
        <f>IF(ISNA(V760),VLOOKUP(E760,категория!A$42:C$74,3,),6.94+R760*8.333/VLOOKUP(V760,категория!A$42:C$74,2,))</f>
        <v>7.9500606060606067</v>
      </c>
    </row>
    <row r="761" spans="1:23" ht="15.75">
      <c r="A761" s="289">
        <v>43859.979166666664</v>
      </c>
      <c r="B761" s="289">
        <v>43859.986111111109</v>
      </c>
      <c r="C761" s="289">
        <f t="shared" si="36"/>
        <v>6.9444444452528842E-3</v>
      </c>
      <c r="D761" s="290">
        <v>6.9444444444444441E-3</v>
      </c>
      <c r="E761" s="329" t="s">
        <v>170</v>
      </c>
      <c r="F761" s="330"/>
      <c r="G761" s="330"/>
      <c r="H761" s="330"/>
      <c r="I761" s="330"/>
      <c r="J761" s="330"/>
      <c r="K761" s="330"/>
      <c r="L761" s="330"/>
      <c r="M761" s="330"/>
      <c r="N761" s="330"/>
      <c r="O761" s="330"/>
      <c r="P761" s="330"/>
      <c r="Q761" s="330"/>
      <c r="R761" s="330"/>
      <c r="S761" s="330"/>
      <c r="T761" s="330"/>
      <c r="U761" s="331"/>
      <c r="V761" s="247" t="e">
        <f>VLOOKUP(E761,Лист4!A$2:G$395,7,FALSE)</f>
        <v>#N/A</v>
      </c>
      <c r="W761" s="247">
        <f>IF(ISNA(V761),VLOOKUP(E761,категория!A$42:C$74,3,),6.94+R761*8.333/VLOOKUP(V761,категория!A$42:C$74,2,))</f>
        <v>2.085</v>
      </c>
    </row>
    <row r="762" spans="1:23" ht="15.75">
      <c r="A762" s="289">
        <v>43859.986111111109</v>
      </c>
      <c r="B762" s="289">
        <v>43860</v>
      </c>
      <c r="C762" s="289">
        <f t="shared" si="36"/>
        <v>1.3888888890505768E-2</v>
      </c>
      <c r="D762" s="290">
        <v>2.0833333333333332E-2</v>
      </c>
      <c r="E762" s="329" t="s">
        <v>2</v>
      </c>
      <c r="F762" s="330"/>
      <c r="G762" s="330"/>
      <c r="H762" s="330"/>
      <c r="I762" s="330"/>
      <c r="J762" s="330"/>
      <c r="K762" s="330"/>
      <c r="L762" s="330"/>
      <c r="M762" s="330"/>
      <c r="N762" s="330"/>
      <c r="O762" s="330"/>
      <c r="P762" s="330"/>
      <c r="Q762" s="330"/>
      <c r="R762" s="330"/>
      <c r="S762" s="330"/>
      <c r="T762" s="330"/>
      <c r="U762" s="331"/>
      <c r="V762" s="247" t="e">
        <f>VLOOKUP(E762,Лист4!A$2:G$395,7,FALSE)</f>
        <v>#N/A</v>
      </c>
      <c r="W762" s="247">
        <f>IF(ISNA(V762),VLOOKUP(E762,категория!A$42:C$74,3,),6.94+R762*8.333/VLOOKUP(V762,категория!A$42:C$74,2,))</f>
        <v>4.17</v>
      </c>
    </row>
    <row r="763" spans="1:23" ht="15.75">
      <c r="A763" s="289">
        <v>43860</v>
      </c>
      <c r="B763" s="289">
        <v>43860.013888888891</v>
      </c>
      <c r="C763" s="289">
        <f t="shared" si="36"/>
        <v>1.3888888890505768E-2</v>
      </c>
      <c r="D763" s="290">
        <v>2.0833333333333332E-2</v>
      </c>
      <c r="E763" s="329" t="s">
        <v>23</v>
      </c>
      <c r="F763" s="330"/>
      <c r="G763" s="330"/>
      <c r="H763" s="330"/>
      <c r="I763" s="330"/>
      <c r="J763" s="330"/>
      <c r="K763" s="330"/>
      <c r="L763" s="330"/>
      <c r="M763" s="330"/>
      <c r="N763" s="330"/>
      <c r="O763" s="330"/>
      <c r="P763" s="330"/>
      <c r="Q763" s="330"/>
      <c r="R763" s="330"/>
      <c r="S763" s="330"/>
      <c r="T763" s="330"/>
      <c r="U763" s="331"/>
      <c r="V763" s="247" t="e">
        <f>VLOOKUP(E763,Лист4!A$2:G$395,7,FALSE)</f>
        <v>#N/A</v>
      </c>
      <c r="W763" s="247">
        <f>IF(ISNA(V763),VLOOKUP(E763,категория!A$42:C$74,3,),6.94+R763*8.333/VLOOKUP(V763,категория!A$42:C$74,2,))</f>
        <v>2.78</v>
      </c>
    </row>
    <row r="764" spans="1:23" ht="15.75">
      <c r="A764" s="289">
        <v>43860.013888888891</v>
      </c>
      <c r="B764" s="289">
        <v>43860.034722222219</v>
      </c>
      <c r="C764" s="289">
        <f t="shared" si="36"/>
        <v>2.0833333328482695E-2</v>
      </c>
      <c r="D764" s="290">
        <v>1.7361111111111112E-2</v>
      </c>
      <c r="E764" s="329" t="s">
        <v>3</v>
      </c>
      <c r="F764" s="330"/>
      <c r="G764" s="330"/>
      <c r="H764" s="330"/>
      <c r="I764" s="330"/>
      <c r="J764" s="330"/>
      <c r="K764" s="330"/>
      <c r="L764" s="330"/>
      <c r="M764" s="330"/>
      <c r="N764" s="330"/>
      <c r="O764" s="330"/>
      <c r="P764" s="330"/>
      <c r="Q764" s="330"/>
      <c r="R764" s="330"/>
      <c r="S764" s="330"/>
      <c r="T764" s="330"/>
      <c r="U764" s="331"/>
      <c r="V764" s="247" t="e">
        <f>VLOOKUP(E764,Лист4!A$2:G$395,7,FALSE)</f>
        <v>#N/A</v>
      </c>
      <c r="W764" s="247">
        <f>IF(ISNA(V764),VLOOKUP(E764,категория!A$42:C$74,3,),6.94+R764*8.333/VLOOKUP(V764,категория!A$42:C$74,2,))</f>
        <v>4.17</v>
      </c>
    </row>
    <row r="765" spans="1:23" ht="15.75">
      <c r="A765" s="289">
        <v>43860.034722222219</v>
      </c>
      <c r="B765" s="289">
        <v>43860.041666666664</v>
      </c>
      <c r="C765" s="289">
        <f t="shared" si="36"/>
        <v>6.9444444452528842E-3</v>
      </c>
      <c r="D765" s="290">
        <v>2.0833333333333332E-2</v>
      </c>
      <c r="E765" s="329" t="s">
        <v>8</v>
      </c>
      <c r="F765" s="330"/>
      <c r="G765" s="330"/>
      <c r="H765" s="330"/>
      <c r="I765" s="330"/>
      <c r="J765" s="330"/>
      <c r="K765" s="330"/>
      <c r="L765" s="330"/>
      <c r="M765" s="330"/>
      <c r="N765" s="330"/>
      <c r="O765" s="330"/>
      <c r="P765" s="330"/>
      <c r="Q765" s="330"/>
      <c r="R765" s="330"/>
      <c r="S765" s="330"/>
      <c r="T765" s="330"/>
      <c r="U765" s="331"/>
      <c r="V765" s="247" t="e">
        <f>VLOOKUP(E765,Лист4!A$2:G$395,7,FALSE)</f>
        <v>#N/A</v>
      </c>
      <c r="W765" s="247">
        <f>IF(ISNA(V765),VLOOKUP(E765,категория!A$42:C$74,3,),6.94+R765*8.333/VLOOKUP(V765,категория!A$42:C$74,2,))</f>
        <v>4.17</v>
      </c>
    </row>
    <row r="766" spans="1:23" ht="15.75">
      <c r="A766" s="289">
        <v>43860.041666666664</v>
      </c>
      <c r="B766" s="289">
        <v>43860.055555555555</v>
      </c>
      <c r="C766" s="289">
        <f t="shared" si="36"/>
        <v>1.3888888890505768E-2</v>
      </c>
      <c r="D766" s="290">
        <v>3.472222222222222E-3</v>
      </c>
      <c r="E766" s="329" t="s">
        <v>327</v>
      </c>
      <c r="F766" s="330"/>
      <c r="G766" s="330"/>
      <c r="H766" s="330"/>
      <c r="I766" s="330"/>
      <c r="J766" s="330"/>
      <c r="K766" s="330"/>
      <c r="L766" s="330"/>
      <c r="M766" s="330"/>
      <c r="N766" s="330"/>
      <c r="O766" s="330"/>
      <c r="P766" s="330"/>
      <c r="Q766" s="330"/>
      <c r="R766" s="330"/>
      <c r="S766" s="330"/>
      <c r="T766" s="330"/>
      <c r="U766" s="331"/>
      <c r="V766" s="247" t="e">
        <f>VLOOKUP(E766,Лист4!A$2:G$395,7,FALSE)</f>
        <v>#N/A</v>
      </c>
      <c r="W766" s="247">
        <f>8.333*0.333</f>
        <v>2.7748890000000004</v>
      </c>
    </row>
    <row r="767" spans="1:23" ht="60">
      <c r="A767" s="289">
        <v>43860.055555555555</v>
      </c>
      <c r="B767" s="289">
        <v>43860.076388888891</v>
      </c>
      <c r="C767" s="289">
        <f t="shared" si="36"/>
        <v>2.0833333335758653E-2</v>
      </c>
      <c r="D767" s="290">
        <v>2.0833333333333332E-2</v>
      </c>
      <c r="E767" s="291">
        <v>227</v>
      </c>
      <c r="F767" s="292" t="s">
        <v>563</v>
      </c>
      <c r="G767" s="292" t="s">
        <v>564</v>
      </c>
      <c r="H767" s="293" t="s">
        <v>292</v>
      </c>
      <c r="I767" s="294">
        <v>43866</v>
      </c>
      <c r="J767" s="295"/>
      <c r="K767" s="291" t="s">
        <v>256</v>
      </c>
      <c r="L767" s="296" t="s">
        <v>232</v>
      </c>
      <c r="M767" s="297"/>
      <c r="N767" s="292" t="s">
        <v>35</v>
      </c>
      <c r="O767" s="291">
        <v>0</v>
      </c>
      <c r="P767" s="291" t="s">
        <v>236</v>
      </c>
      <c r="Q767" s="298" t="s">
        <v>241</v>
      </c>
      <c r="R767" s="299">
        <v>2500</v>
      </c>
      <c r="S767" s="299">
        <v>2528</v>
      </c>
      <c r="T767" s="295" t="s">
        <v>232</v>
      </c>
      <c r="U767" s="299" t="s">
        <v>77</v>
      </c>
      <c r="V767" s="247" t="str">
        <f>VLOOKUP(E767,Лист4!A$2:G$395,7,FALSE)</f>
        <v>картон от 270</v>
      </c>
      <c r="W767" s="247">
        <f>IF(ISNA(V767),VLOOKUP(E767,категория!A$42:C$74,3,),6.94/4+R767*8.333/VLOOKUP(V767,категория!A$42:C$74,2,))</f>
        <v>8.9186206896551727</v>
      </c>
    </row>
    <row r="768" spans="1:23" ht="15.75">
      <c r="A768" s="289">
        <v>43860.076388888891</v>
      </c>
      <c r="B768" s="289">
        <v>43860.083333333336</v>
      </c>
      <c r="C768" s="289">
        <f t="shared" si="36"/>
        <v>6.9444444452528842E-3</v>
      </c>
      <c r="D768" s="290">
        <v>1.0416666666666666E-2</v>
      </c>
      <c r="E768" s="329" t="s">
        <v>170</v>
      </c>
      <c r="F768" s="330"/>
      <c r="G768" s="330"/>
      <c r="H768" s="330"/>
      <c r="I768" s="330"/>
      <c r="J768" s="330"/>
      <c r="K768" s="330"/>
      <c r="L768" s="330"/>
      <c r="M768" s="330"/>
      <c r="N768" s="330"/>
      <c r="O768" s="330"/>
      <c r="P768" s="330"/>
      <c r="Q768" s="330"/>
      <c r="R768" s="330"/>
      <c r="S768" s="330"/>
      <c r="T768" s="330"/>
      <c r="U768" s="331"/>
      <c r="V768" s="247" t="e">
        <f>VLOOKUP(E768,Лист4!A$2:G$395,7,FALSE)</f>
        <v>#N/A</v>
      </c>
      <c r="W768" s="247">
        <f>IF(ISNA(V768),VLOOKUP(E768,категория!A$42:C$74,3,),6.94+R768*8.333/VLOOKUP(V768,категория!A$42:C$74,2,))</f>
        <v>2.085</v>
      </c>
    </row>
    <row r="769" spans="1:23" ht="15.75">
      <c r="A769" s="289">
        <v>43860.083333333336</v>
      </c>
      <c r="B769" s="289">
        <v>43860.097222222219</v>
      </c>
      <c r="C769" s="289">
        <f t="shared" si="36"/>
        <v>1.3888888883229811E-2</v>
      </c>
      <c r="D769" s="290">
        <v>3.472222222222222E-3</v>
      </c>
      <c r="E769" s="329" t="s">
        <v>327</v>
      </c>
      <c r="F769" s="330"/>
      <c r="G769" s="330"/>
      <c r="H769" s="330"/>
      <c r="I769" s="330"/>
      <c r="J769" s="330"/>
      <c r="K769" s="330"/>
      <c r="L769" s="330"/>
      <c r="M769" s="330"/>
      <c r="N769" s="330"/>
      <c r="O769" s="330"/>
      <c r="P769" s="330"/>
      <c r="Q769" s="330"/>
      <c r="R769" s="330"/>
      <c r="S769" s="330"/>
      <c r="T769" s="330"/>
      <c r="U769" s="331"/>
      <c r="V769" s="247" t="e">
        <f>VLOOKUP(E769,Лист4!A$2:G$395,7,FALSE)</f>
        <v>#N/A</v>
      </c>
      <c r="W769" s="247">
        <f>8.33*0.333</f>
        <v>2.7738900000000002</v>
      </c>
    </row>
    <row r="770" spans="1:23" ht="60">
      <c r="A770" s="289">
        <v>43860.097222222219</v>
      </c>
      <c r="B770" s="289">
        <v>43860.118055555555</v>
      </c>
      <c r="C770" s="289">
        <f t="shared" si="36"/>
        <v>2.0833333335758653E-2</v>
      </c>
      <c r="D770" s="290">
        <v>2.0833333333333332E-2</v>
      </c>
      <c r="E770" s="291">
        <v>227</v>
      </c>
      <c r="F770" s="292" t="s">
        <v>563</v>
      </c>
      <c r="G770" s="292" t="s">
        <v>564</v>
      </c>
      <c r="H770" s="293" t="s">
        <v>293</v>
      </c>
      <c r="I770" s="294">
        <v>43866</v>
      </c>
      <c r="J770" s="295"/>
      <c r="K770" s="291" t="s">
        <v>256</v>
      </c>
      <c r="L770" s="296" t="s">
        <v>232</v>
      </c>
      <c r="M770" s="297"/>
      <c r="N770" s="292" t="s">
        <v>35</v>
      </c>
      <c r="O770" s="291">
        <v>0</v>
      </c>
      <c r="P770" s="291" t="s">
        <v>236</v>
      </c>
      <c r="Q770" s="298" t="s">
        <v>241</v>
      </c>
      <c r="R770" s="299">
        <v>2800</v>
      </c>
      <c r="S770" s="299">
        <v>2528</v>
      </c>
      <c r="T770" s="295" t="s">
        <v>232</v>
      </c>
      <c r="U770" s="299" t="s">
        <v>77</v>
      </c>
      <c r="V770" s="247" t="str">
        <f>VLOOKUP(E770,Лист4!A$2:G$395,7,FALSE)</f>
        <v>картон от 270</v>
      </c>
      <c r="W770" s="247">
        <f>IF(ISNA(V770),VLOOKUP(E770,категория!A$42:C$74,3,),R770*8.333/VLOOKUP(V770,категория!A$42:C$74,2,))</f>
        <v>8.0456551724137935</v>
      </c>
    </row>
    <row r="771" spans="1:23" ht="15.75">
      <c r="A771" s="289">
        <v>43860.118055555555</v>
      </c>
      <c r="B771" s="289">
        <v>43860.125</v>
      </c>
      <c r="C771" s="289">
        <f t="shared" si="36"/>
        <v>6.9444444452528842E-3</v>
      </c>
      <c r="D771" s="290">
        <v>1.0416666666666666E-2</v>
      </c>
      <c r="E771" s="329" t="s">
        <v>170</v>
      </c>
      <c r="F771" s="330"/>
      <c r="G771" s="330"/>
      <c r="H771" s="330"/>
      <c r="I771" s="330"/>
      <c r="J771" s="330"/>
      <c r="K771" s="330"/>
      <c r="L771" s="330"/>
      <c r="M771" s="330"/>
      <c r="N771" s="330"/>
      <c r="O771" s="330"/>
      <c r="P771" s="330"/>
      <c r="Q771" s="330"/>
      <c r="R771" s="330"/>
      <c r="S771" s="330"/>
      <c r="T771" s="330"/>
      <c r="U771" s="331"/>
      <c r="V771" s="247" t="e">
        <f>VLOOKUP(E771,Лист4!A$2:G$395,7,FALSE)</f>
        <v>#N/A</v>
      </c>
      <c r="W771" s="247">
        <f>IF(ISNA(V771),VLOOKUP(E771,категория!A$42:C$74,3,),6.94+R771*8.333/VLOOKUP(V771,категория!A$42:C$74,2,))</f>
        <v>2.085</v>
      </c>
    </row>
    <row r="772" spans="1:23" ht="15.75">
      <c r="A772" s="289">
        <v>43860.125</v>
      </c>
      <c r="B772" s="289">
        <v>43860.145833333336</v>
      </c>
      <c r="C772" s="289">
        <f t="shared" si="36"/>
        <v>2.0833333335758653E-2</v>
      </c>
      <c r="D772" s="290">
        <v>2.0833333333333332E-2</v>
      </c>
      <c r="E772" s="329" t="s">
        <v>3</v>
      </c>
      <c r="F772" s="330"/>
      <c r="G772" s="330"/>
      <c r="H772" s="330"/>
      <c r="I772" s="330"/>
      <c r="J772" s="330"/>
      <c r="K772" s="330"/>
      <c r="L772" s="330"/>
      <c r="M772" s="330"/>
      <c r="N772" s="330"/>
      <c r="O772" s="330"/>
      <c r="P772" s="330"/>
      <c r="Q772" s="330"/>
      <c r="R772" s="330"/>
      <c r="S772" s="330"/>
      <c r="T772" s="330"/>
      <c r="U772" s="331"/>
      <c r="V772" s="247" t="e">
        <f>VLOOKUP(E772,Лист4!A$2:G$395,7,FALSE)</f>
        <v>#N/A</v>
      </c>
      <c r="W772" s="247">
        <f>IF(ISNA(V772),VLOOKUP(E772,категория!A$42:C$74,3,),6.94+R772*8.333/VLOOKUP(V772,категория!A$42:C$74,2,))</f>
        <v>4.17</v>
      </c>
    </row>
    <row r="773" spans="1:23" ht="15.75">
      <c r="A773" s="289">
        <v>43860.145833333336</v>
      </c>
      <c r="B773" s="289">
        <v>43860.3125</v>
      </c>
      <c r="C773" s="289">
        <f t="shared" si="36"/>
        <v>0.16666666666424135</v>
      </c>
      <c r="D773" s="290">
        <v>4.1666666666666664E-2</v>
      </c>
      <c r="E773" s="329" t="s">
        <v>283</v>
      </c>
      <c r="F773" s="330"/>
      <c r="G773" s="330"/>
      <c r="H773" s="330"/>
      <c r="I773" s="330"/>
      <c r="J773" s="330"/>
      <c r="K773" s="330"/>
      <c r="L773" s="330"/>
      <c r="M773" s="330"/>
      <c r="N773" s="330"/>
      <c r="O773" s="330"/>
      <c r="P773" s="330"/>
      <c r="Q773" s="330"/>
      <c r="R773" s="330"/>
      <c r="S773" s="330"/>
      <c r="T773" s="330"/>
      <c r="U773" s="331"/>
      <c r="V773" s="247" t="e">
        <f>VLOOKUP(E773,Лист4!A$2:G$395,7,FALSE)</f>
        <v>#N/A</v>
      </c>
      <c r="W773" s="247">
        <f>8.33*4</f>
        <v>33.32</v>
      </c>
    </row>
    <row r="774" spans="1:23" ht="15.75">
      <c r="A774" s="289">
        <v>43860.3125</v>
      </c>
      <c r="B774" s="289">
        <v>43860.333333333336</v>
      </c>
      <c r="C774" s="289">
        <f t="shared" si="36"/>
        <v>2.0833333335758653E-2</v>
      </c>
      <c r="D774" s="290">
        <v>2.0833333333333332E-2</v>
      </c>
      <c r="E774" s="329" t="s">
        <v>22</v>
      </c>
      <c r="F774" s="330"/>
      <c r="G774" s="330"/>
      <c r="H774" s="330"/>
      <c r="I774" s="330"/>
      <c r="J774" s="330"/>
      <c r="K774" s="330"/>
      <c r="L774" s="330"/>
      <c r="M774" s="330"/>
      <c r="N774" s="330"/>
      <c r="O774" s="330"/>
      <c r="P774" s="330"/>
      <c r="Q774" s="330"/>
      <c r="R774" s="330"/>
      <c r="S774" s="330"/>
      <c r="T774" s="330"/>
      <c r="U774" s="331"/>
      <c r="V774" s="247" t="e">
        <f>VLOOKUP(E774,Лист4!A$2:G$395,7,FALSE)</f>
        <v>#N/A</v>
      </c>
      <c r="W774" s="247">
        <f>IF(ISNA(V774),VLOOKUP(E774,категория!A$42:C$74,3,),6.94+R774*8.333/VLOOKUP(V774,категория!A$42:C$74,2,))</f>
        <v>4.17</v>
      </c>
    </row>
    <row r="775" spans="1:23" ht="15.75">
      <c r="A775" s="300">
        <v>43860.333333333336</v>
      </c>
      <c r="B775" s="332" t="s">
        <v>568</v>
      </c>
      <c r="C775" s="333"/>
      <c r="D775" s="334"/>
      <c r="E775" s="334"/>
      <c r="F775" s="334"/>
      <c r="G775" s="334"/>
      <c r="H775" s="334"/>
      <c r="I775" s="334"/>
      <c r="J775" s="334"/>
      <c r="K775" s="334"/>
      <c r="L775" s="334"/>
      <c r="M775" s="334"/>
      <c r="N775" s="334"/>
      <c r="O775" s="334"/>
      <c r="P775" s="334"/>
      <c r="Q775" s="334"/>
      <c r="R775" s="334"/>
      <c r="S775" s="334"/>
      <c r="T775" s="334"/>
      <c r="U775" s="335"/>
      <c r="V775" s="247" t="e">
        <f>VLOOKUP(E775,Лист4!A$2:G$395,7,FALSE)</f>
        <v>#N/A</v>
      </c>
      <c r="W775" s="52">
        <f>SUM(W757:W774)</f>
        <v>124.25715691640544</v>
      </c>
    </row>
    <row r="776" spans="1:23" ht="15.75">
      <c r="A776" s="289">
        <v>43860.333333333336</v>
      </c>
      <c r="B776" s="289">
        <v>43860.354166666664</v>
      </c>
      <c r="C776" s="289">
        <f>B776-A776</f>
        <v>2.0833333328482695E-2</v>
      </c>
      <c r="D776" s="290">
        <v>2.0833333333333332E-2</v>
      </c>
      <c r="E776" s="329" t="s">
        <v>22</v>
      </c>
      <c r="F776" s="330"/>
      <c r="G776" s="330"/>
      <c r="H776" s="330"/>
      <c r="I776" s="330"/>
      <c r="J776" s="330"/>
      <c r="K776" s="330"/>
      <c r="L776" s="330"/>
      <c r="M776" s="330"/>
      <c r="N776" s="330"/>
      <c r="O776" s="330"/>
      <c r="P776" s="330"/>
      <c r="Q776" s="330"/>
      <c r="R776" s="330"/>
      <c r="S776" s="330"/>
      <c r="T776" s="330"/>
      <c r="U776" s="331"/>
      <c r="V776" s="247" t="e">
        <f>VLOOKUP(E776,Лист4!A$2:G$395,7,FALSE)</f>
        <v>#N/A</v>
      </c>
      <c r="W776" s="247">
        <f>IF(ISNA(V776),VLOOKUP(E776,категория!A$42:C$74,3,),6.94+R776*8.333/VLOOKUP(V776,категория!A$42:C$74,2,))</f>
        <v>4.17</v>
      </c>
    </row>
    <row r="777" spans="1:23" ht="15.75">
      <c r="A777" s="289">
        <v>43860.354166666664</v>
      </c>
      <c r="B777" s="289">
        <v>43860.354861111111</v>
      </c>
      <c r="C777" s="289">
        <f t="shared" ref="C777:C792" si="37">B777-A777</f>
        <v>6.944444467080757E-4</v>
      </c>
      <c r="D777" s="290">
        <v>6.9444444444444447E-4</v>
      </c>
      <c r="E777" s="329" t="s">
        <v>403</v>
      </c>
      <c r="F777" s="330"/>
      <c r="G777" s="330"/>
      <c r="H777" s="330"/>
      <c r="I777" s="330"/>
      <c r="J777" s="330"/>
      <c r="K777" s="330"/>
      <c r="L777" s="330"/>
      <c r="M777" s="330"/>
      <c r="N777" s="330"/>
      <c r="O777" s="330"/>
      <c r="P777" s="330"/>
      <c r="Q777" s="330"/>
      <c r="R777" s="330"/>
      <c r="S777" s="330"/>
      <c r="T777" s="330"/>
      <c r="U777" s="331"/>
      <c r="V777" s="247" t="e">
        <f>VLOOKUP(E777,Лист4!A$2:G$395,7,FALSE)</f>
        <v>#N/A</v>
      </c>
      <c r="W777" s="247">
        <v>0</v>
      </c>
    </row>
    <row r="778" spans="1:23" ht="15.75">
      <c r="A778" s="289">
        <v>43860.354861111111</v>
      </c>
      <c r="B778" s="289">
        <v>43860.4375</v>
      </c>
      <c r="C778" s="289">
        <f t="shared" si="37"/>
        <v>8.2638888889050577E-2</v>
      </c>
      <c r="D778" s="290">
        <v>4.1666666666666664E-2</v>
      </c>
      <c r="E778" s="329" t="s">
        <v>7</v>
      </c>
      <c r="F778" s="330"/>
      <c r="G778" s="330"/>
      <c r="H778" s="330"/>
      <c r="I778" s="330"/>
      <c r="J778" s="330"/>
      <c r="K778" s="330"/>
      <c r="L778" s="330"/>
      <c r="M778" s="330"/>
      <c r="N778" s="330"/>
      <c r="O778" s="330"/>
      <c r="P778" s="330"/>
      <c r="Q778" s="330"/>
      <c r="R778" s="330"/>
      <c r="S778" s="330"/>
      <c r="T778" s="330"/>
      <c r="U778" s="331"/>
      <c r="V778" s="247" t="e">
        <f>VLOOKUP(E778,Лист4!A$2:G$395,7,FALSE)</f>
        <v>#N/A</v>
      </c>
      <c r="W778" s="247">
        <f>IF(ISNA(V778),VLOOKUP(E778,категория!A$42:C$74,3,),6.94+R778*8.333/VLOOKUP(V778,категория!A$42:C$74,2,))</f>
        <v>8.3332999999999995</v>
      </c>
    </row>
    <row r="779" spans="1:23" ht="15.75">
      <c r="A779" s="289">
        <v>43860.4375</v>
      </c>
      <c r="B779" s="289">
        <v>43860.458333333336</v>
      </c>
      <c r="C779" s="289">
        <f t="shared" si="37"/>
        <v>2.0833333335758653E-2</v>
      </c>
      <c r="D779" s="290">
        <v>3.472222222222222E-3</v>
      </c>
      <c r="E779" s="329" t="s">
        <v>26</v>
      </c>
      <c r="F779" s="330"/>
      <c r="G779" s="330"/>
      <c r="H779" s="330"/>
      <c r="I779" s="330"/>
      <c r="J779" s="330"/>
      <c r="K779" s="330"/>
      <c r="L779" s="330"/>
      <c r="M779" s="330"/>
      <c r="N779" s="330"/>
      <c r="O779" s="330"/>
      <c r="P779" s="330"/>
      <c r="Q779" s="330"/>
      <c r="R779" s="330"/>
      <c r="S779" s="330"/>
      <c r="T779" s="330"/>
      <c r="U779" s="331"/>
      <c r="V779" s="247" t="e">
        <f>VLOOKUP(E779,Лист4!A$2:G$395,7,FALSE)</f>
        <v>#N/A</v>
      </c>
      <c r="W779" s="247">
        <f>IF(ISNA(V779),VLOOKUP(E779,категория!A$42:C$74,3,),6.94+R779*8.333/VLOOKUP(V779,категория!A$42:C$74,2,))</f>
        <v>6.94</v>
      </c>
    </row>
    <row r="780" spans="1:23" ht="15.75">
      <c r="A780" s="289">
        <v>43860.458333333336</v>
      </c>
      <c r="B780" s="289">
        <v>43860.5</v>
      </c>
      <c r="C780" s="289">
        <f t="shared" si="37"/>
        <v>4.1666666664241347E-2</v>
      </c>
      <c r="D780" s="290">
        <v>4.1666666666666664E-2</v>
      </c>
      <c r="E780" s="329" t="s">
        <v>253</v>
      </c>
      <c r="F780" s="330"/>
      <c r="G780" s="330"/>
      <c r="H780" s="330"/>
      <c r="I780" s="330"/>
      <c r="J780" s="330"/>
      <c r="K780" s="330"/>
      <c r="L780" s="330"/>
      <c r="M780" s="330"/>
      <c r="N780" s="330"/>
      <c r="O780" s="330"/>
      <c r="P780" s="330"/>
      <c r="Q780" s="330"/>
      <c r="R780" s="330"/>
      <c r="S780" s="330"/>
      <c r="T780" s="330"/>
      <c r="U780" s="331"/>
      <c r="V780" s="247" t="e">
        <f>VLOOKUP(E780,Лист4!A$2:G$395,7,FALSE)</f>
        <v>#N/A</v>
      </c>
      <c r="W780" s="247">
        <v>8.3330000000000002</v>
      </c>
    </row>
    <row r="781" spans="1:23" ht="44.25" customHeight="1">
      <c r="A781" s="289">
        <v>43860.5</v>
      </c>
      <c r="B781" s="289">
        <v>43860.524305555555</v>
      </c>
      <c r="C781" s="289">
        <f t="shared" si="37"/>
        <v>2.4305555554747116E-2</v>
      </c>
      <c r="D781" s="290">
        <v>2.4305555555555556E-2</v>
      </c>
      <c r="E781" s="291">
        <v>201</v>
      </c>
      <c r="F781" s="292" t="s">
        <v>264</v>
      </c>
      <c r="G781" s="292" t="s">
        <v>569</v>
      </c>
      <c r="H781" s="293" t="s">
        <v>233</v>
      </c>
      <c r="I781" s="294">
        <v>43868</v>
      </c>
      <c r="J781" s="295" t="s">
        <v>232</v>
      </c>
      <c r="K781" s="291" t="s">
        <v>227</v>
      </c>
      <c r="L781" s="296"/>
      <c r="M781" s="297"/>
      <c r="N781" s="292" t="s">
        <v>41</v>
      </c>
      <c r="O781" s="291">
        <v>300</v>
      </c>
      <c r="P781" s="291" t="s">
        <v>236</v>
      </c>
      <c r="Q781" s="298" t="s">
        <v>229</v>
      </c>
      <c r="R781" s="299">
        <v>147</v>
      </c>
      <c r="S781" s="299">
        <v>299</v>
      </c>
      <c r="T781" s="295" t="s">
        <v>232</v>
      </c>
      <c r="U781" s="299" t="s">
        <v>230</v>
      </c>
      <c r="V781" s="247" t="str">
        <f>VLOOKUP(E781,Лист4!A$2:G$395,7,FALSE)</f>
        <v>мел+офсет</v>
      </c>
      <c r="W781" s="247">
        <f>IF(ISNA(V781),VLOOKUP(E781,категория!A$42:C$74,3,),6.94+R781*8.333/VLOOKUP(V781,категория!A$42:C$74,2,))*1.2</f>
        <v>8.6219882400000003</v>
      </c>
    </row>
    <row r="782" spans="1:23" ht="15.75">
      <c r="A782" s="289">
        <v>43860.524305555555</v>
      </c>
      <c r="B782" s="289">
        <v>43860.53125</v>
      </c>
      <c r="C782" s="289">
        <f t="shared" si="37"/>
        <v>6.9444444452528842E-3</v>
      </c>
      <c r="D782" s="290">
        <v>6.9444444444444441E-3</v>
      </c>
      <c r="E782" s="329" t="s">
        <v>170</v>
      </c>
      <c r="F782" s="330"/>
      <c r="G782" s="330"/>
      <c r="H782" s="330"/>
      <c r="I782" s="330"/>
      <c r="J782" s="330"/>
      <c r="K782" s="330"/>
      <c r="L782" s="330"/>
      <c r="M782" s="330"/>
      <c r="N782" s="330"/>
      <c r="O782" s="330"/>
      <c r="P782" s="330"/>
      <c r="Q782" s="330"/>
      <c r="R782" s="330"/>
      <c r="S782" s="330"/>
      <c r="T782" s="330"/>
      <c r="U782" s="331"/>
      <c r="V782" s="247" t="e">
        <f>VLOOKUP(E782,Лист4!A$2:G$395,7,FALSE)</f>
        <v>#N/A</v>
      </c>
      <c r="W782" s="247">
        <f>IF(ISNA(V782),VLOOKUP(E782,категория!A$42:C$74,3,),6.94+R782*8.333/VLOOKUP(V782,категория!A$42:C$74,2,))</f>
        <v>2.085</v>
      </c>
    </row>
    <row r="783" spans="1:23" ht="15.75">
      <c r="A783" s="289">
        <v>43860.53125</v>
      </c>
      <c r="B783" s="289">
        <v>43860.552083333336</v>
      </c>
      <c r="C783" s="289">
        <f t="shared" si="37"/>
        <v>2.0833333335758653E-2</v>
      </c>
      <c r="D783" s="290">
        <v>2.0833333333333332E-2</v>
      </c>
      <c r="E783" s="329" t="s">
        <v>23</v>
      </c>
      <c r="F783" s="330"/>
      <c r="G783" s="330"/>
      <c r="H783" s="330"/>
      <c r="I783" s="330"/>
      <c r="J783" s="330"/>
      <c r="K783" s="330"/>
      <c r="L783" s="330"/>
      <c r="M783" s="330"/>
      <c r="N783" s="330"/>
      <c r="O783" s="330"/>
      <c r="P783" s="330"/>
      <c r="Q783" s="330"/>
      <c r="R783" s="330"/>
      <c r="S783" s="330"/>
      <c r="T783" s="330"/>
      <c r="U783" s="331"/>
      <c r="V783" s="247" t="e">
        <f>VLOOKUP(E783,Лист4!A$2:G$395,7,FALSE)</f>
        <v>#N/A</v>
      </c>
      <c r="W783" s="247">
        <f>IF(ISNA(V783),VLOOKUP(E783,категория!A$42:C$74,3,),6.94+R783*8.333/VLOOKUP(V783,категория!A$42:C$74,2,))</f>
        <v>2.78</v>
      </c>
    </row>
    <row r="784" spans="1:23" ht="15.75">
      <c r="A784" s="289">
        <v>43860.552083333336</v>
      </c>
      <c r="B784" s="289">
        <v>43860.5625</v>
      </c>
      <c r="C784" s="289">
        <f t="shared" si="37"/>
        <v>1.0416666664241347E-2</v>
      </c>
      <c r="D784" s="290">
        <v>1.0416666666666666E-2</v>
      </c>
      <c r="E784" s="329" t="s">
        <v>28</v>
      </c>
      <c r="F784" s="330"/>
      <c r="G784" s="330"/>
      <c r="H784" s="330"/>
      <c r="I784" s="330"/>
      <c r="J784" s="330"/>
      <c r="K784" s="330"/>
      <c r="L784" s="330"/>
      <c r="M784" s="330"/>
      <c r="N784" s="330"/>
      <c r="O784" s="330"/>
      <c r="P784" s="330"/>
      <c r="Q784" s="330"/>
      <c r="R784" s="330"/>
      <c r="S784" s="330"/>
      <c r="T784" s="330"/>
      <c r="U784" s="331"/>
      <c r="V784" s="247" t="e">
        <f>VLOOKUP(E784,Лист4!A$2:G$395,7,FALSE)</f>
        <v>#N/A</v>
      </c>
      <c r="W784" s="247">
        <f>IF(ISNA(V784),VLOOKUP(E784,категория!A$42:C$74,3,),6.94+R784*8.333/VLOOKUP(V784,категория!A$42:C$74,2,))</f>
        <v>8.3332999999999995</v>
      </c>
    </row>
    <row r="785" spans="1:23" ht="30" customHeight="1">
      <c r="A785" s="289">
        <v>43860.5625</v>
      </c>
      <c r="B785" s="289">
        <v>43860.59375</v>
      </c>
      <c r="C785" s="289">
        <f t="shared" si="37"/>
        <v>3.125E-2</v>
      </c>
      <c r="D785" s="290">
        <v>3.125E-2</v>
      </c>
      <c r="E785" s="291">
        <v>229</v>
      </c>
      <c r="F785" s="292" t="s">
        <v>570</v>
      </c>
      <c r="G785" s="292" t="s">
        <v>571</v>
      </c>
      <c r="H785" s="293" t="s">
        <v>226</v>
      </c>
      <c r="I785" s="294">
        <v>43861</v>
      </c>
      <c r="J785" s="295"/>
      <c r="K785" s="291" t="s">
        <v>227</v>
      </c>
      <c r="L785" s="296"/>
      <c r="M785" s="297"/>
      <c r="N785" s="292" t="s">
        <v>41</v>
      </c>
      <c r="O785" s="291">
        <v>150</v>
      </c>
      <c r="P785" s="291" t="s">
        <v>236</v>
      </c>
      <c r="Q785" s="298" t="s">
        <v>229</v>
      </c>
      <c r="R785" s="299">
        <v>2120</v>
      </c>
      <c r="S785" s="299">
        <v>2255</v>
      </c>
      <c r="T785" s="295" t="s">
        <v>232</v>
      </c>
      <c r="U785" s="299" t="s">
        <v>230</v>
      </c>
      <c r="V785" s="247" t="str">
        <f>VLOOKUP(E785,Лист4!A$2:G$395,7,FALSE)</f>
        <v>мел+офсет</v>
      </c>
      <c r="W785" s="247">
        <f>IF(ISNA(V785),VLOOKUP(E785,категория!A$42:C$74,3,),6.94+R785*8.333/VLOOKUP(V785,категория!A$42:C$74,2,))*1.2</f>
        <v>12.5678304</v>
      </c>
    </row>
    <row r="786" spans="1:23" ht="15.75">
      <c r="A786" s="289">
        <v>43860.59375</v>
      </c>
      <c r="B786" s="289">
        <v>43860.600694444445</v>
      </c>
      <c r="C786" s="289">
        <f t="shared" si="37"/>
        <v>6.9444444452528842E-3</v>
      </c>
      <c r="D786" s="290">
        <v>6.9444444444444441E-3</v>
      </c>
      <c r="E786" s="329" t="s">
        <v>170</v>
      </c>
      <c r="F786" s="330"/>
      <c r="G786" s="330"/>
      <c r="H786" s="330"/>
      <c r="I786" s="330"/>
      <c r="J786" s="330"/>
      <c r="K786" s="330"/>
      <c r="L786" s="330"/>
      <c r="M786" s="330"/>
      <c r="N786" s="330"/>
      <c r="O786" s="330"/>
      <c r="P786" s="330"/>
      <c r="Q786" s="330"/>
      <c r="R786" s="330"/>
      <c r="S786" s="330"/>
      <c r="T786" s="330"/>
      <c r="U786" s="331"/>
      <c r="V786" s="247" t="e">
        <f>VLOOKUP(E786,Лист4!A$2:G$395,7,FALSE)</f>
        <v>#N/A</v>
      </c>
      <c r="W786" s="247">
        <f>IF(ISNA(V786),VLOOKUP(E786,категория!A$42:C$74,3,),6.94+R786*8.333/VLOOKUP(V786,категория!A$42:C$74,2,))</f>
        <v>2.085</v>
      </c>
    </row>
    <row r="787" spans="1:23" ht="15.75">
      <c r="A787" s="289">
        <v>43860.600694444445</v>
      </c>
      <c r="B787" s="289">
        <v>43860.673611111109</v>
      </c>
      <c r="C787" s="289">
        <f t="shared" si="37"/>
        <v>7.2916666664241347E-2</v>
      </c>
      <c r="D787" s="290">
        <v>7.2916666666666671E-2</v>
      </c>
      <c r="E787" s="329" t="s">
        <v>263</v>
      </c>
      <c r="F787" s="330"/>
      <c r="G787" s="330"/>
      <c r="H787" s="330"/>
      <c r="I787" s="330"/>
      <c r="J787" s="330"/>
      <c r="K787" s="330"/>
      <c r="L787" s="330"/>
      <c r="M787" s="330"/>
      <c r="N787" s="330"/>
      <c r="O787" s="330"/>
      <c r="P787" s="330"/>
      <c r="Q787" s="330"/>
      <c r="R787" s="330"/>
      <c r="S787" s="330"/>
      <c r="T787" s="330"/>
      <c r="U787" s="331"/>
      <c r="V787" s="247" t="e">
        <f>VLOOKUP(E787,Лист4!A$2:G$395,7,FALSE)</f>
        <v>#N/A</v>
      </c>
      <c r="W787" s="247">
        <f>8.33*1.75</f>
        <v>14.577500000000001</v>
      </c>
    </row>
    <row r="788" spans="1:23" ht="15.75">
      <c r="A788" s="289">
        <v>43860.673611111109</v>
      </c>
      <c r="B788" s="289">
        <v>43860.6875</v>
      </c>
      <c r="C788" s="289">
        <f t="shared" si="37"/>
        <v>1.3888888890505768E-2</v>
      </c>
      <c r="D788" s="290">
        <v>0</v>
      </c>
      <c r="E788" s="329" t="s">
        <v>24</v>
      </c>
      <c r="F788" s="330"/>
      <c r="G788" s="330"/>
      <c r="H788" s="330"/>
      <c r="I788" s="330"/>
      <c r="J788" s="330"/>
      <c r="K788" s="330"/>
      <c r="L788" s="330"/>
      <c r="M788" s="330"/>
      <c r="N788" s="330"/>
      <c r="O788" s="330"/>
      <c r="P788" s="330"/>
      <c r="Q788" s="330"/>
      <c r="R788" s="330"/>
      <c r="S788" s="330"/>
      <c r="T788" s="330"/>
      <c r="U788" s="331"/>
      <c r="V788" s="247" t="e">
        <f>VLOOKUP(E788,Лист4!A$2:G$395,7,FALSE)</f>
        <v>#N/A</v>
      </c>
      <c r="W788" s="247">
        <f>IF(ISNA(V788),VLOOKUP(E788,категория!A$42:C$74,3,),6.94+R788*8.333/VLOOKUP(V788,категория!A$42:C$74,2,))</f>
        <v>3.47</v>
      </c>
    </row>
    <row r="789" spans="1:23" ht="27" customHeight="1">
      <c r="A789" s="289">
        <v>43860.6875</v>
      </c>
      <c r="B789" s="289">
        <v>43860.708333333336</v>
      </c>
      <c r="C789" s="289">
        <f t="shared" si="37"/>
        <v>2.0833333335758653E-2</v>
      </c>
      <c r="D789" s="290">
        <v>2.0833333333333332E-2</v>
      </c>
      <c r="E789" s="291">
        <v>230</v>
      </c>
      <c r="F789" s="292" t="s">
        <v>570</v>
      </c>
      <c r="G789" s="292" t="s">
        <v>572</v>
      </c>
      <c r="H789" s="293" t="s">
        <v>252</v>
      </c>
      <c r="I789" s="294">
        <v>43861</v>
      </c>
      <c r="J789" s="295"/>
      <c r="K789" s="291" t="s">
        <v>235</v>
      </c>
      <c r="L789" s="296"/>
      <c r="M789" s="297"/>
      <c r="N789" s="292" t="s">
        <v>53</v>
      </c>
      <c r="O789" s="291">
        <v>270</v>
      </c>
      <c r="P789" s="291" t="s">
        <v>236</v>
      </c>
      <c r="Q789" s="298" t="s">
        <v>229</v>
      </c>
      <c r="R789" s="299">
        <v>219</v>
      </c>
      <c r="S789" s="299">
        <v>629</v>
      </c>
      <c r="T789" s="295" t="s">
        <v>232</v>
      </c>
      <c r="U789" s="299" t="s">
        <v>230</v>
      </c>
      <c r="V789" s="247" t="str">
        <f>VLOOKUP(E789,Лист4!A$2:G$395,7,FALSE)</f>
        <v>картон от 270</v>
      </c>
      <c r="W789" s="247">
        <f>IF(ISNA(V789),VLOOKUP(E789,категория!A$42:C$74,3,),6.94+R789*8.333/VLOOKUP(V789,категория!A$42:C$74,2,))*1.2</f>
        <v>9.0831422068965519</v>
      </c>
    </row>
    <row r="790" spans="1:23" ht="15.75">
      <c r="A790" s="289">
        <v>43860.708333333336</v>
      </c>
      <c r="B790" s="289">
        <v>43860.715277777781</v>
      </c>
      <c r="C790" s="289">
        <f t="shared" si="37"/>
        <v>6.9444444452528842E-3</v>
      </c>
      <c r="D790" s="290">
        <v>6.9444444444444441E-3</v>
      </c>
      <c r="E790" s="329" t="s">
        <v>170</v>
      </c>
      <c r="F790" s="330"/>
      <c r="G790" s="330"/>
      <c r="H790" s="330"/>
      <c r="I790" s="330"/>
      <c r="J790" s="330"/>
      <c r="K790" s="330"/>
      <c r="L790" s="330"/>
      <c r="M790" s="330"/>
      <c r="N790" s="330"/>
      <c r="O790" s="330"/>
      <c r="P790" s="330"/>
      <c r="Q790" s="330"/>
      <c r="R790" s="330"/>
      <c r="S790" s="330"/>
      <c r="T790" s="330"/>
      <c r="U790" s="331"/>
      <c r="V790" s="247" t="e">
        <f>VLOOKUP(E790,Лист4!A$2:G$395,7,FALSE)</f>
        <v>#N/A</v>
      </c>
      <c r="W790" s="247">
        <f>IF(ISNA(V790),VLOOKUP(E790,категория!A$42:C$74,3,),6.94+R790*8.333/VLOOKUP(V790,категория!A$42:C$74,2,))</f>
        <v>2.085</v>
      </c>
    </row>
    <row r="791" spans="1:23" ht="15.75">
      <c r="A791" s="289">
        <v>43860.715277777781</v>
      </c>
      <c r="B791" s="289">
        <v>43860.739583333336</v>
      </c>
      <c r="C791" s="289">
        <f t="shared" si="37"/>
        <v>2.4305555554747116E-2</v>
      </c>
      <c r="D791" s="290">
        <v>1.0416666666666666E-2</v>
      </c>
      <c r="E791" s="329" t="s">
        <v>237</v>
      </c>
      <c r="F791" s="330"/>
      <c r="G791" s="330"/>
      <c r="H791" s="330"/>
      <c r="I791" s="330"/>
      <c r="J791" s="330"/>
      <c r="K791" s="330"/>
      <c r="L791" s="330"/>
      <c r="M791" s="330"/>
      <c r="N791" s="330"/>
      <c r="O791" s="330"/>
      <c r="P791" s="330"/>
      <c r="Q791" s="330"/>
      <c r="R791" s="330"/>
      <c r="S791" s="330"/>
      <c r="T791" s="330"/>
      <c r="U791" s="331"/>
      <c r="V791" s="247" t="e">
        <f>VLOOKUP(E791,Лист4!A$2:G$395,7,FALSE)</f>
        <v>#N/A</v>
      </c>
      <c r="W791" s="247">
        <f>IF(ISNA(V791),VLOOKUP(E791,категория!A$42:C$74,3,),6.94+R791*8.333/VLOOKUP(V791,категория!A$42:C$74,2,))</f>
        <v>5.5553333333333335</v>
      </c>
    </row>
    <row r="792" spans="1:23" ht="15.75">
      <c r="A792" s="289">
        <v>43860.739583333336</v>
      </c>
      <c r="B792" s="289">
        <v>43860.833333333336</v>
      </c>
      <c r="C792" s="289">
        <f t="shared" si="37"/>
        <v>9.375E-2</v>
      </c>
      <c r="D792" s="290">
        <v>7.9861111111111105E-2</v>
      </c>
      <c r="E792" s="329" t="s">
        <v>573</v>
      </c>
      <c r="F792" s="330"/>
      <c r="G792" s="330"/>
      <c r="H792" s="330"/>
      <c r="I792" s="330"/>
      <c r="J792" s="330"/>
      <c r="K792" s="330"/>
      <c r="L792" s="330"/>
      <c r="M792" s="330"/>
      <c r="N792" s="330"/>
      <c r="O792" s="330"/>
      <c r="P792" s="330"/>
      <c r="Q792" s="330"/>
      <c r="R792" s="330"/>
      <c r="S792" s="330"/>
      <c r="T792" s="330"/>
      <c r="U792" s="331"/>
      <c r="V792" s="247" t="e">
        <f>VLOOKUP(E792,Лист4!A$2:G$395,7,FALSE)</f>
        <v>#N/A</v>
      </c>
      <c r="W792" s="247">
        <f>2.25*8.333</f>
        <v>18.74925</v>
      </c>
    </row>
    <row r="793" spans="1:23" ht="15.75">
      <c r="A793" s="300">
        <v>43860.833333333336</v>
      </c>
      <c r="B793" s="332" t="s">
        <v>574</v>
      </c>
      <c r="C793" s="333"/>
      <c r="D793" s="334"/>
      <c r="E793" s="334"/>
      <c r="F793" s="334"/>
      <c r="G793" s="334"/>
      <c r="H793" s="334"/>
      <c r="I793" s="334"/>
      <c r="J793" s="334"/>
      <c r="K793" s="334"/>
      <c r="L793" s="334"/>
      <c r="M793" s="334"/>
      <c r="N793" s="334"/>
      <c r="O793" s="334"/>
      <c r="P793" s="334"/>
      <c r="Q793" s="334"/>
      <c r="R793" s="334"/>
      <c r="S793" s="334"/>
      <c r="T793" s="334"/>
      <c r="U793" s="335"/>
      <c r="V793" s="247" t="e">
        <f>VLOOKUP(E793,Лист4!A$2:G$395,7,FALSE)</f>
        <v>#N/A</v>
      </c>
      <c r="W793" s="52">
        <f>SUM(W776:W792)</f>
        <v>117.76964418022989</v>
      </c>
    </row>
    <row r="794" spans="1:23" ht="15.75">
      <c r="A794" s="289">
        <v>43860.833333333336</v>
      </c>
      <c r="B794" s="289">
        <v>43860.854166666664</v>
      </c>
      <c r="C794" s="289">
        <f>B794-A794</f>
        <v>2.0833333328482695E-2</v>
      </c>
      <c r="D794" s="290">
        <v>2.0833333333333332E-2</v>
      </c>
      <c r="E794" s="329" t="s">
        <v>22</v>
      </c>
      <c r="F794" s="330"/>
      <c r="G794" s="330"/>
      <c r="H794" s="330"/>
      <c r="I794" s="330"/>
      <c r="J794" s="330"/>
      <c r="K794" s="330"/>
      <c r="L794" s="330"/>
      <c r="M794" s="330"/>
      <c r="N794" s="330"/>
      <c r="O794" s="330"/>
      <c r="P794" s="330"/>
      <c r="Q794" s="330"/>
      <c r="R794" s="330"/>
      <c r="S794" s="330"/>
      <c r="T794" s="330"/>
      <c r="U794" s="331"/>
      <c r="V794" s="247" t="e">
        <f>VLOOKUP(E794,Лист4!A$2:G$395,7,FALSE)</f>
        <v>#N/A</v>
      </c>
      <c r="W794" s="247">
        <f>IF(ISNA(V794),VLOOKUP(E794,категория!A$42:C$74,3,),6.94+R794*8.333/VLOOKUP(V794,категория!A$42:C$74,2,))</f>
        <v>4.17</v>
      </c>
    </row>
    <row r="795" spans="1:23" ht="15.75">
      <c r="A795" s="289">
        <v>43860.854166666664</v>
      </c>
      <c r="B795" s="289">
        <v>43860.916666666664</v>
      </c>
      <c r="C795" s="289">
        <f t="shared" ref="C795:C810" si="38">B795-A795</f>
        <v>6.25E-2</v>
      </c>
      <c r="D795" s="290">
        <v>4.8611111111111112E-2</v>
      </c>
      <c r="E795" s="329" t="s">
        <v>237</v>
      </c>
      <c r="F795" s="330"/>
      <c r="G795" s="330"/>
      <c r="H795" s="330"/>
      <c r="I795" s="330"/>
      <c r="J795" s="330"/>
      <c r="K795" s="330"/>
      <c r="L795" s="330"/>
      <c r="M795" s="330"/>
      <c r="N795" s="330"/>
      <c r="O795" s="330"/>
      <c r="P795" s="330"/>
      <c r="Q795" s="330"/>
      <c r="R795" s="330"/>
      <c r="S795" s="330"/>
      <c r="T795" s="330"/>
      <c r="U795" s="331"/>
      <c r="V795" s="247" t="e">
        <f>VLOOKUP(E795,Лист4!A$2:G$395,7,FALSE)</f>
        <v>#N/A</v>
      </c>
      <c r="W795" s="247">
        <f>IF(ISNA(V795),VLOOKUP(E795,категория!A$42:C$74,3,),6.94+R795*8.333/VLOOKUP(V795,категория!A$42:C$74,2,))</f>
        <v>5.5553333333333335</v>
      </c>
    </row>
    <row r="796" spans="1:23" ht="15.75">
      <c r="A796" s="289">
        <v>43860.916666666664</v>
      </c>
      <c r="B796" s="289">
        <v>43861.152777777781</v>
      </c>
      <c r="C796" s="289">
        <f t="shared" si="38"/>
        <v>0.23611111111677019</v>
      </c>
      <c r="D796" s="290">
        <v>0.22222222222222221</v>
      </c>
      <c r="E796" s="329" t="s">
        <v>575</v>
      </c>
      <c r="F796" s="330"/>
      <c r="G796" s="330"/>
      <c r="H796" s="330"/>
      <c r="I796" s="330"/>
      <c r="J796" s="330"/>
      <c r="K796" s="330"/>
      <c r="L796" s="330"/>
      <c r="M796" s="330"/>
      <c r="N796" s="330"/>
      <c r="O796" s="330"/>
      <c r="P796" s="330"/>
      <c r="Q796" s="330"/>
      <c r="R796" s="330"/>
      <c r="S796" s="330"/>
      <c r="T796" s="330"/>
      <c r="U796" s="331"/>
      <c r="V796" s="247" t="e">
        <f>VLOOKUP(E796,Лист4!A$2:G$395,7,FALSE)</f>
        <v>#N/A</v>
      </c>
      <c r="W796" s="247">
        <f>5.6667*8.333</f>
        <v>47.220611099999999</v>
      </c>
    </row>
    <row r="797" spans="1:23" ht="15.75">
      <c r="A797" s="289">
        <v>43861.152777777781</v>
      </c>
      <c r="B797" s="289">
        <v>43861.173611111109</v>
      </c>
      <c r="C797" s="289">
        <f t="shared" si="38"/>
        <v>2.0833333328482695E-2</v>
      </c>
      <c r="D797" s="290">
        <v>6.9444444444444441E-3</v>
      </c>
      <c r="E797" s="329" t="s">
        <v>23</v>
      </c>
      <c r="F797" s="330"/>
      <c r="G797" s="330"/>
      <c r="H797" s="330"/>
      <c r="I797" s="330"/>
      <c r="J797" s="330"/>
      <c r="K797" s="330"/>
      <c r="L797" s="330"/>
      <c r="M797" s="330"/>
      <c r="N797" s="330"/>
      <c r="O797" s="330"/>
      <c r="P797" s="330"/>
      <c r="Q797" s="330"/>
      <c r="R797" s="330"/>
      <c r="S797" s="330"/>
      <c r="T797" s="330"/>
      <c r="U797" s="331"/>
      <c r="V797" s="247" t="e">
        <f>VLOOKUP(E797,Лист4!A$2:G$395,7,FALSE)</f>
        <v>#N/A</v>
      </c>
      <c r="W797" s="247">
        <f>IF(ISNA(V797),VLOOKUP(E797,категория!A$42:C$74,3,),6.94+R797*8.333/VLOOKUP(V797,категория!A$42:C$74,2,))</f>
        <v>2.78</v>
      </c>
    </row>
    <row r="798" spans="1:23" ht="21.75" customHeight="1">
      <c r="A798" s="289">
        <v>43861.173611111109</v>
      </c>
      <c r="B798" s="289">
        <v>43861.180555555555</v>
      </c>
      <c r="C798" s="289">
        <f t="shared" si="38"/>
        <v>6.9444444452528842E-3</v>
      </c>
      <c r="D798" s="290">
        <v>6.9444444444444441E-3</v>
      </c>
      <c r="E798" s="291">
        <v>230</v>
      </c>
      <c r="F798" s="292" t="s">
        <v>570</v>
      </c>
      <c r="G798" s="292" t="s">
        <v>572</v>
      </c>
      <c r="H798" s="293" t="s">
        <v>251</v>
      </c>
      <c r="I798" s="294">
        <v>43861</v>
      </c>
      <c r="J798" s="295"/>
      <c r="K798" s="291" t="s">
        <v>238</v>
      </c>
      <c r="L798" s="296"/>
      <c r="M798" s="297"/>
      <c r="N798" s="292" t="s">
        <v>53</v>
      </c>
      <c r="O798" s="291">
        <v>270</v>
      </c>
      <c r="P798" s="291" t="s">
        <v>236</v>
      </c>
      <c r="Q798" s="298" t="s">
        <v>229</v>
      </c>
      <c r="R798" s="299">
        <v>350</v>
      </c>
      <c r="S798" s="299">
        <v>629</v>
      </c>
      <c r="T798" s="295" t="s">
        <v>232</v>
      </c>
      <c r="U798" s="299" t="s">
        <v>76</v>
      </c>
      <c r="V798" s="247" t="str">
        <f>VLOOKUP(E798,Лист4!A$2:G$395,7,FALSE)</f>
        <v>картон от 270</v>
      </c>
      <c r="W798" s="247">
        <f>IF(ISNA(V798),VLOOKUP(E798,категория!A$42:C$74,3,),6.94+R798*8.333/VLOOKUP(V798,категория!A$42:C$74,2,))</f>
        <v>7.9457068965517248</v>
      </c>
    </row>
    <row r="799" spans="1:23" ht="15.75">
      <c r="A799" s="289">
        <v>43861.180555555555</v>
      </c>
      <c r="B799" s="289">
        <v>43861.184027777781</v>
      </c>
      <c r="C799" s="289">
        <f t="shared" si="38"/>
        <v>3.4722222262644209E-3</v>
      </c>
      <c r="D799" s="290">
        <v>3.472222222222222E-3</v>
      </c>
      <c r="E799" s="329" t="s">
        <v>170</v>
      </c>
      <c r="F799" s="330"/>
      <c r="G799" s="330"/>
      <c r="H799" s="330"/>
      <c r="I799" s="330"/>
      <c r="J799" s="330"/>
      <c r="K799" s="330"/>
      <c r="L799" s="330"/>
      <c r="M799" s="330"/>
      <c r="N799" s="330"/>
      <c r="O799" s="330"/>
      <c r="P799" s="330"/>
      <c r="Q799" s="330"/>
      <c r="R799" s="330"/>
      <c r="S799" s="330"/>
      <c r="T799" s="330"/>
      <c r="U799" s="331"/>
      <c r="V799" s="247" t="e">
        <f>VLOOKUP(E799,Лист4!A$2:G$395,7,FALSE)</f>
        <v>#N/A</v>
      </c>
      <c r="W799" s="247">
        <f>IF(ISNA(V799),VLOOKUP(E799,категория!A$42:C$74,3,),6.94+R799*8.333/VLOOKUP(V799,категория!A$42:C$74,2,))</f>
        <v>2.085</v>
      </c>
    </row>
    <row r="800" spans="1:23" ht="15.75">
      <c r="A800" s="289">
        <v>43861.184027777781</v>
      </c>
      <c r="B800" s="289">
        <v>43861.204861111109</v>
      </c>
      <c r="C800" s="289">
        <f t="shared" si="38"/>
        <v>2.0833333328482695E-2</v>
      </c>
      <c r="D800" s="290">
        <v>2.0833333333333332E-2</v>
      </c>
      <c r="E800" s="329" t="s">
        <v>263</v>
      </c>
      <c r="F800" s="330"/>
      <c r="G800" s="330"/>
      <c r="H800" s="330"/>
      <c r="I800" s="330"/>
      <c r="J800" s="330"/>
      <c r="K800" s="330"/>
      <c r="L800" s="330"/>
      <c r="M800" s="330"/>
      <c r="N800" s="330"/>
      <c r="O800" s="330"/>
      <c r="P800" s="330"/>
      <c r="Q800" s="330"/>
      <c r="R800" s="330"/>
      <c r="S800" s="330"/>
      <c r="T800" s="330"/>
      <c r="U800" s="331"/>
      <c r="V800" s="247" t="e">
        <f>VLOOKUP(E800,Лист4!A$2:G$395,7,FALSE)</f>
        <v>#N/A</v>
      </c>
      <c r="W800" s="247">
        <f>8.333*0.5</f>
        <v>4.1665000000000001</v>
      </c>
    </row>
    <row r="801" spans="1:23" ht="29.25" customHeight="1">
      <c r="A801" s="289">
        <v>43861.204861111109</v>
      </c>
      <c r="B801" s="289">
        <v>43861.222222222219</v>
      </c>
      <c r="C801" s="289">
        <f t="shared" si="38"/>
        <v>1.7361111109494232E-2</v>
      </c>
      <c r="D801" s="290">
        <v>1.7361111111111112E-2</v>
      </c>
      <c r="E801" s="291">
        <v>201</v>
      </c>
      <c r="F801" s="292" t="s">
        <v>264</v>
      </c>
      <c r="G801" s="292" t="s">
        <v>569</v>
      </c>
      <c r="H801" s="293" t="s">
        <v>465</v>
      </c>
      <c r="I801" s="294">
        <v>43868</v>
      </c>
      <c r="J801" s="295" t="s">
        <v>232</v>
      </c>
      <c r="K801" s="291" t="s">
        <v>240</v>
      </c>
      <c r="L801" s="296"/>
      <c r="M801" s="297"/>
      <c r="N801" s="292" t="s">
        <v>38</v>
      </c>
      <c r="O801" s="291">
        <v>80</v>
      </c>
      <c r="P801" s="291" t="s">
        <v>236</v>
      </c>
      <c r="Q801" s="298" t="s">
        <v>241</v>
      </c>
      <c r="R801" s="299">
        <v>350</v>
      </c>
      <c r="S801" s="299">
        <v>662</v>
      </c>
      <c r="T801" s="295" t="s">
        <v>232</v>
      </c>
      <c r="U801" s="299" t="s">
        <v>76</v>
      </c>
      <c r="V801" s="247" t="str">
        <f>VLOOKUP(E801,Лист4!A$2:G$395,7,FALSE)</f>
        <v>мел+офсет</v>
      </c>
      <c r="W801" s="247">
        <f>IF(ISNA(V801),VLOOKUP(E801,категория!A$42:C$74,3,),6.94+R801*8.333/VLOOKUP(V801,категория!A$42:C$74,2,))</f>
        <v>7.5233100000000004</v>
      </c>
    </row>
    <row r="802" spans="1:23" ht="15.75">
      <c r="A802" s="289">
        <v>43861.222222222219</v>
      </c>
      <c r="B802" s="289">
        <v>43861.225694444445</v>
      </c>
      <c r="C802" s="289">
        <f t="shared" si="38"/>
        <v>3.4722222262644209E-3</v>
      </c>
      <c r="D802" s="290">
        <v>1.0416666666666666E-2</v>
      </c>
      <c r="E802" s="329" t="s">
        <v>170</v>
      </c>
      <c r="F802" s="330"/>
      <c r="G802" s="330"/>
      <c r="H802" s="330"/>
      <c r="I802" s="330"/>
      <c r="J802" s="330"/>
      <c r="K802" s="330"/>
      <c r="L802" s="330"/>
      <c r="M802" s="330"/>
      <c r="N802" s="330"/>
      <c r="O802" s="330"/>
      <c r="P802" s="330"/>
      <c r="Q802" s="330"/>
      <c r="R802" s="330"/>
      <c r="S802" s="330"/>
      <c r="T802" s="330"/>
      <c r="U802" s="331"/>
      <c r="V802" s="247" t="e">
        <f>VLOOKUP(E802,Лист4!A$2:G$395,7,FALSE)</f>
        <v>#N/A</v>
      </c>
      <c r="W802" s="247">
        <f>IF(ISNA(V802),VLOOKUP(E802,категория!A$42:C$74,3,),6.94+R802*8.333/VLOOKUP(V802,категория!A$42:C$74,2,))</f>
        <v>2.085</v>
      </c>
    </row>
    <row r="803" spans="1:23" ht="36" customHeight="1">
      <c r="A803" s="289">
        <v>43861.225694444445</v>
      </c>
      <c r="B803" s="289">
        <v>43861.243055555555</v>
      </c>
      <c r="C803" s="289">
        <f t="shared" si="38"/>
        <v>1.7361111109494232E-2</v>
      </c>
      <c r="D803" s="290">
        <v>1.7361111111111112E-2</v>
      </c>
      <c r="E803" s="291">
        <v>201</v>
      </c>
      <c r="F803" s="292" t="s">
        <v>264</v>
      </c>
      <c r="G803" s="292" t="s">
        <v>569</v>
      </c>
      <c r="H803" s="293" t="s">
        <v>466</v>
      </c>
      <c r="I803" s="294">
        <v>43868</v>
      </c>
      <c r="J803" s="295" t="s">
        <v>232</v>
      </c>
      <c r="K803" s="291" t="s">
        <v>240</v>
      </c>
      <c r="L803" s="296"/>
      <c r="M803" s="297"/>
      <c r="N803" s="292" t="s">
        <v>38</v>
      </c>
      <c r="O803" s="291">
        <v>80</v>
      </c>
      <c r="P803" s="291" t="s">
        <v>236</v>
      </c>
      <c r="Q803" s="298" t="s">
        <v>241</v>
      </c>
      <c r="R803" s="299">
        <v>350</v>
      </c>
      <c r="S803" s="299">
        <v>662</v>
      </c>
      <c r="T803" s="295" t="s">
        <v>232</v>
      </c>
      <c r="U803" s="299" t="s">
        <v>76</v>
      </c>
      <c r="V803" s="247" t="str">
        <f>VLOOKUP(E803,Лист4!A$2:G$395,7,FALSE)</f>
        <v>мел+офсет</v>
      </c>
      <c r="W803" s="247">
        <f>IF(ISNA(V803),VLOOKUP(E803,категория!A$42:C$74,3,),6.94+R803*8.333/VLOOKUP(V803,категория!A$42:C$74,2,))</f>
        <v>7.5233100000000004</v>
      </c>
    </row>
    <row r="804" spans="1:23" ht="15.75">
      <c r="A804" s="289">
        <v>43861.243055555555</v>
      </c>
      <c r="B804" s="289">
        <v>43861.246527777781</v>
      </c>
      <c r="C804" s="289">
        <f t="shared" si="38"/>
        <v>3.4722222262644209E-3</v>
      </c>
      <c r="D804" s="290">
        <v>1.0416666666666666E-2</v>
      </c>
      <c r="E804" s="329" t="s">
        <v>170</v>
      </c>
      <c r="F804" s="330"/>
      <c r="G804" s="330"/>
      <c r="H804" s="330"/>
      <c r="I804" s="330"/>
      <c r="J804" s="330"/>
      <c r="K804" s="330"/>
      <c r="L804" s="330"/>
      <c r="M804" s="330"/>
      <c r="N804" s="330"/>
      <c r="O804" s="330"/>
      <c r="P804" s="330"/>
      <c r="Q804" s="330"/>
      <c r="R804" s="330"/>
      <c r="S804" s="330"/>
      <c r="T804" s="330"/>
      <c r="U804" s="331"/>
      <c r="V804" s="247" t="e">
        <f>VLOOKUP(E804,Лист4!A$2:G$395,7,FALSE)</f>
        <v>#N/A</v>
      </c>
      <c r="W804" s="247">
        <f>IF(ISNA(V804),VLOOKUP(E804,категория!A$42:C$74,3,),6.94+R804*8.333/VLOOKUP(V804,категория!A$42:C$74,2,))</f>
        <v>2.085</v>
      </c>
    </row>
    <row r="805" spans="1:23" ht="15.75">
      <c r="A805" s="289">
        <v>43861.246527777781</v>
      </c>
      <c r="B805" s="289">
        <v>43861.253472222219</v>
      </c>
      <c r="C805" s="289">
        <f t="shared" si="38"/>
        <v>6.9444444379769266E-3</v>
      </c>
      <c r="D805" s="290">
        <v>3.472222222222222E-3</v>
      </c>
      <c r="E805" s="329" t="s">
        <v>327</v>
      </c>
      <c r="F805" s="330"/>
      <c r="G805" s="330"/>
      <c r="H805" s="330"/>
      <c r="I805" s="330"/>
      <c r="J805" s="330"/>
      <c r="K805" s="330"/>
      <c r="L805" s="330"/>
      <c r="M805" s="330"/>
      <c r="N805" s="330"/>
      <c r="O805" s="330"/>
      <c r="P805" s="330"/>
      <c r="Q805" s="330"/>
      <c r="R805" s="330"/>
      <c r="S805" s="330"/>
      <c r="T805" s="330"/>
      <c r="U805" s="331"/>
      <c r="V805" s="247" t="e">
        <f>VLOOKUP(E805,Лист4!A$2:G$395,7,FALSE)</f>
        <v>#N/A</v>
      </c>
      <c r="W805" s="247">
        <f>8.333*0.1667</f>
        <v>1.3891110999999998</v>
      </c>
    </row>
    <row r="806" spans="1:23" ht="30.75" customHeight="1">
      <c r="A806" s="289">
        <v>43861.253472222219</v>
      </c>
      <c r="B806" s="289">
        <v>43861.267361111109</v>
      </c>
      <c r="C806" s="289">
        <f t="shared" si="38"/>
        <v>1.3888888890505768E-2</v>
      </c>
      <c r="D806" s="290">
        <v>1.3888888888888888E-2</v>
      </c>
      <c r="E806" s="291">
        <v>201</v>
      </c>
      <c r="F806" s="292" t="s">
        <v>264</v>
      </c>
      <c r="G806" s="292" t="s">
        <v>569</v>
      </c>
      <c r="H806" s="293" t="s">
        <v>462</v>
      </c>
      <c r="I806" s="294">
        <v>43868</v>
      </c>
      <c r="J806" s="295" t="s">
        <v>232</v>
      </c>
      <c r="K806" s="291" t="s">
        <v>227</v>
      </c>
      <c r="L806" s="296"/>
      <c r="M806" s="297"/>
      <c r="N806" s="292" t="s">
        <v>38</v>
      </c>
      <c r="O806" s="291">
        <v>80</v>
      </c>
      <c r="P806" s="291" t="s">
        <v>236</v>
      </c>
      <c r="Q806" s="298" t="s">
        <v>241</v>
      </c>
      <c r="R806" s="299">
        <v>380</v>
      </c>
      <c r="S806" s="299">
        <v>662</v>
      </c>
      <c r="T806" s="295" t="s">
        <v>232</v>
      </c>
      <c r="U806" s="299" t="s">
        <v>76</v>
      </c>
      <c r="V806" s="247" t="str">
        <f>VLOOKUP(E806,Лист4!A$2:G$395,7,FALSE)</f>
        <v>мел+офсет</v>
      </c>
      <c r="W806" s="247">
        <f>IF(ISNA(V806),VLOOKUP(E806,категория!A$42:C$74,3,),6.94+R806*8.333/VLOOKUP(V806,категория!A$42:C$74,2,))</f>
        <v>7.5733080000000008</v>
      </c>
    </row>
    <row r="807" spans="1:23" ht="15.75">
      <c r="A807" s="289">
        <v>43861.267361111109</v>
      </c>
      <c r="B807" s="289">
        <v>43861.270833333336</v>
      </c>
      <c r="C807" s="289">
        <f t="shared" si="38"/>
        <v>3.4722222262644209E-3</v>
      </c>
      <c r="D807" s="290">
        <v>1.0416666666666666E-2</v>
      </c>
      <c r="E807" s="329" t="s">
        <v>170</v>
      </c>
      <c r="F807" s="330"/>
      <c r="G807" s="330"/>
      <c r="H807" s="330"/>
      <c r="I807" s="330"/>
      <c r="J807" s="330"/>
      <c r="K807" s="330"/>
      <c r="L807" s="330"/>
      <c r="M807" s="330"/>
      <c r="N807" s="330"/>
      <c r="O807" s="330"/>
      <c r="P807" s="330"/>
      <c r="Q807" s="330"/>
      <c r="R807" s="330"/>
      <c r="S807" s="330"/>
      <c r="T807" s="330"/>
      <c r="U807" s="331"/>
      <c r="V807" s="247" t="e">
        <f>VLOOKUP(E807,Лист4!A$2:G$395,7,FALSE)</f>
        <v>#N/A</v>
      </c>
      <c r="W807" s="247">
        <f>IF(ISNA(V807),VLOOKUP(E807,категория!A$42:C$74,3,),6.94+R807*8.333/VLOOKUP(V807,категория!A$42:C$74,2,))</f>
        <v>2.085</v>
      </c>
    </row>
    <row r="808" spans="1:23" ht="35.25" customHeight="1">
      <c r="A808" s="289">
        <v>43861.270833333336</v>
      </c>
      <c r="B808" s="289">
        <v>43861.288194444445</v>
      </c>
      <c r="C808" s="289">
        <f t="shared" si="38"/>
        <v>1.7361111109494232E-2</v>
      </c>
      <c r="D808" s="290">
        <v>1.7361111111111112E-2</v>
      </c>
      <c r="E808" s="291">
        <v>201</v>
      </c>
      <c r="F808" s="292" t="s">
        <v>264</v>
      </c>
      <c r="G808" s="292" t="s">
        <v>569</v>
      </c>
      <c r="H808" s="293" t="s">
        <v>461</v>
      </c>
      <c r="I808" s="294">
        <v>43868</v>
      </c>
      <c r="J808" s="295" t="s">
        <v>232</v>
      </c>
      <c r="K808" s="291" t="s">
        <v>227</v>
      </c>
      <c r="L808" s="296"/>
      <c r="M808" s="297"/>
      <c r="N808" s="292" t="s">
        <v>38</v>
      </c>
      <c r="O808" s="291">
        <v>80</v>
      </c>
      <c r="P808" s="291" t="s">
        <v>236</v>
      </c>
      <c r="Q808" s="298" t="s">
        <v>241</v>
      </c>
      <c r="R808" s="299">
        <v>380</v>
      </c>
      <c r="S808" s="299">
        <v>662</v>
      </c>
      <c r="T808" s="295" t="s">
        <v>232</v>
      </c>
      <c r="U808" s="299" t="s">
        <v>76</v>
      </c>
      <c r="V808" s="247" t="str">
        <f>VLOOKUP(E808,Лист4!A$2:G$395,7,FALSE)</f>
        <v>мел+офсет</v>
      </c>
      <c r="W808" s="247">
        <f>IF(ISNA(V808),VLOOKUP(E808,категория!A$42:C$74,3,),6.94+R808*8.333/VLOOKUP(V808,категория!A$42:C$74,2,))</f>
        <v>7.5733080000000008</v>
      </c>
    </row>
    <row r="809" spans="1:23" ht="15.75">
      <c r="A809" s="289">
        <v>43861.288194444445</v>
      </c>
      <c r="B809" s="289">
        <v>43861.291666666664</v>
      </c>
      <c r="C809" s="289">
        <f t="shared" si="38"/>
        <v>3.4722222189884633E-3</v>
      </c>
      <c r="D809" s="290">
        <v>1.0416666666666666E-2</v>
      </c>
      <c r="E809" s="329" t="s">
        <v>170</v>
      </c>
      <c r="F809" s="330"/>
      <c r="G809" s="330"/>
      <c r="H809" s="330"/>
      <c r="I809" s="330"/>
      <c r="J809" s="330"/>
      <c r="K809" s="330"/>
      <c r="L809" s="330"/>
      <c r="M809" s="330"/>
      <c r="N809" s="330"/>
      <c r="O809" s="330"/>
      <c r="P809" s="330"/>
      <c r="Q809" s="330"/>
      <c r="R809" s="330"/>
      <c r="S809" s="330"/>
      <c r="T809" s="330"/>
      <c r="U809" s="331"/>
      <c r="V809" s="247" t="e">
        <f>VLOOKUP(E809,Лист4!A$2:G$395,7,FALSE)</f>
        <v>#N/A</v>
      </c>
      <c r="W809" s="247">
        <f>IF(ISNA(V809),VLOOKUP(E809,категория!A$42:C$74,3,),6.94+R809*8.333/VLOOKUP(V809,категория!A$42:C$74,2,))</f>
        <v>2.085</v>
      </c>
    </row>
    <row r="810" spans="1:23" ht="15.75">
      <c r="A810" s="289">
        <v>43861.291666666664</v>
      </c>
      <c r="B810" s="289">
        <v>43861.333333333336</v>
      </c>
      <c r="C810" s="289">
        <f t="shared" si="38"/>
        <v>4.1666666671517305E-2</v>
      </c>
      <c r="D810" s="290">
        <v>4.1666666666666664E-2</v>
      </c>
      <c r="E810" s="329" t="s">
        <v>7</v>
      </c>
      <c r="F810" s="330"/>
      <c r="G810" s="330"/>
      <c r="H810" s="330"/>
      <c r="I810" s="330"/>
      <c r="J810" s="330"/>
      <c r="K810" s="330"/>
      <c r="L810" s="330"/>
      <c r="M810" s="330"/>
      <c r="N810" s="330"/>
      <c r="O810" s="330"/>
      <c r="P810" s="330"/>
      <c r="Q810" s="330"/>
      <c r="R810" s="330"/>
      <c r="S810" s="330"/>
      <c r="T810" s="330"/>
      <c r="U810" s="331"/>
      <c r="V810" s="247" t="e">
        <f>VLOOKUP(E810,Лист4!A$2:G$395,7,FALSE)</f>
        <v>#N/A</v>
      </c>
      <c r="W810" s="247">
        <f>IF(ISNA(V810),VLOOKUP(E810,категория!A$42:C$74,3,),6.94+R810*8.333/VLOOKUP(V810,категория!A$42:C$74,2,))</f>
        <v>8.3332999999999995</v>
      </c>
    </row>
    <row r="811" spans="1:23" ht="15.75">
      <c r="A811" s="300">
        <v>43861.333333333336</v>
      </c>
      <c r="B811" s="332" t="s">
        <v>576</v>
      </c>
      <c r="C811" s="333"/>
      <c r="D811" s="334"/>
      <c r="E811" s="334"/>
      <c r="F811" s="334"/>
      <c r="G811" s="334"/>
      <c r="H811" s="334"/>
      <c r="I811" s="334"/>
      <c r="J811" s="334"/>
      <c r="K811" s="334"/>
      <c r="L811" s="334"/>
      <c r="M811" s="334"/>
      <c r="N811" s="334"/>
      <c r="O811" s="334"/>
      <c r="P811" s="334"/>
      <c r="Q811" s="334"/>
      <c r="R811" s="334"/>
      <c r="S811" s="334"/>
      <c r="T811" s="334"/>
      <c r="U811" s="335"/>
      <c r="V811" s="247" t="e">
        <f>VLOOKUP(E811,Лист4!A$2:G$395,7,FALSE)</f>
        <v>#N/A</v>
      </c>
      <c r="W811" s="52">
        <f>SUM(W794:W810)</f>
        <v>122.17879842988499</v>
      </c>
    </row>
    <row r="812" spans="1:23" ht="15.75">
      <c r="A812" s="289">
        <v>43861.333333333336</v>
      </c>
      <c r="B812" s="289">
        <v>43861.354166666664</v>
      </c>
      <c r="C812" s="289">
        <f>B812-A812</f>
        <v>2.0833333328482695E-2</v>
      </c>
      <c r="D812" s="290">
        <v>2.0833333333333332E-2</v>
      </c>
      <c r="E812" s="329" t="s">
        <v>22</v>
      </c>
      <c r="F812" s="330"/>
      <c r="G812" s="330"/>
      <c r="H812" s="330"/>
      <c r="I812" s="330"/>
      <c r="J812" s="330"/>
      <c r="K812" s="330"/>
      <c r="L812" s="330"/>
      <c r="M812" s="330"/>
      <c r="N812" s="330"/>
      <c r="O812" s="330"/>
      <c r="P812" s="330"/>
      <c r="Q812" s="330"/>
      <c r="R812" s="330"/>
      <c r="S812" s="330"/>
      <c r="T812" s="330"/>
      <c r="U812" s="331"/>
      <c r="V812" s="247" t="e">
        <f>VLOOKUP(E812,Лист4!A$2:G$395,7,FALSE)</f>
        <v>#N/A</v>
      </c>
      <c r="W812" s="247">
        <f>IF(ISNA(V812),VLOOKUP(E812,категория!A$42:C$74,3,),6.94+R812*8.333/VLOOKUP(V812,категория!A$42:C$74,2,))</f>
        <v>4.17</v>
      </c>
    </row>
    <row r="813" spans="1:23" ht="15.75">
      <c r="A813" s="289">
        <v>43861.354166666664</v>
      </c>
      <c r="B813" s="289">
        <v>43861.40625</v>
      </c>
      <c r="C813" s="289">
        <f t="shared" ref="C813:C831" si="39">B813-A813</f>
        <v>5.2083333335758653E-2</v>
      </c>
      <c r="D813" s="290">
        <v>3.472222222222222E-3</v>
      </c>
      <c r="E813" s="329" t="s">
        <v>24</v>
      </c>
      <c r="F813" s="330"/>
      <c r="G813" s="330"/>
      <c r="H813" s="330"/>
      <c r="I813" s="330"/>
      <c r="J813" s="330"/>
      <c r="K813" s="330"/>
      <c r="L813" s="330"/>
      <c r="M813" s="330"/>
      <c r="N813" s="330"/>
      <c r="O813" s="330"/>
      <c r="P813" s="330"/>
      <c r="Q813" s="330"/>
      <c r="R813" s="330"/>
      <c r="S813" s="330"/>
      <c r="T813" s="330"/>
      <c r="U813" s="331"/>
      <c r="V813" s="247" t="e">
        <f>VLOOKUP(E813,Лист4!A$2:G$395,7,FALSE)</f>
        <v>#N/A</v>
      </c>
      <c r="W813" s="247">
        <f>IF(ISNA(V813),VLOOKUP(E813,категория!A$42:C$74,3,),6.94+R813*8.333/VLOOKUP(V813,категория!A$42:C$74,2,))</f>
        <v>3.47</v>
      </c>
    </row>
    <row r="814" spans="1:23" ht="30.75" customHeight="1">
      <c r="A814" s="289">
        <v>43861.40625</v>
      </c>
      <c r="B814" s="289">
        <v>43861.4375</v>
      </c>
      <c r="C814" s="289">
        <f t="shared" si="39"/>
        <v>3.125E-2</v>
      </c>
      <c r="D814" s="290">
        <v>3.125E-2</v>
      </c>
      <c r="E814" s="291">
        <v>242</v>
      </c>
      <c r="F814" s="292" t="s">
        <v>577</v>
      </c>
      <c r="G814" s="292" t="s">
        <v>578</v>
      </c>
      <c r="H814" s="293" t="s">
        <v>226</v>
      </c>
      <c r="I814" s="294">
        <v>43867</v>
      </c>
      <c r="J814" s="295"/>
      <c r="K814" s="291" t="s">
        <v>227</v>
      </c>
      <c r="L814" s="296"/>
      <c r="M814" s="297"/>
      <c r="N814" s="292" t="s">
        <v>40</v>
      </c>
      <c r="O814" s="291">
        <v>325</v>
      </c>
      <c r="P814" s="291" t="s">
        <v>236</v>
      </c>
      <c r="Q814" s="298" t="s">
        <v>229</v>
      </c>
      <c r="R814" s="299">
        <v>1100</v>
      </c>
      <c r="S814" s="299">
        <v>1290</v>
      </c>
      <c r="T814" s="295" t="s">
        <v>232</v>
      </c>
      <c r="U814" s="299" t="s">
        <v>230</v>
      </c>
      <c r="V814" s="247" t="str">
        <f>VLOOKUP(E814,Лист4!A$2:G$395,7,FALSE)</f>
        <v>картон от 270</v>
      </c>
      <c r="W814" s="247">
        <f>IF(ISNA(V814),VLOOKUP(E814,категория!A$42:C$74,3,),6.94+R814*8.333/VLOOKUP(V814,категория!A$42:C$74,2,))</f>
        <v>10.100793103448277</v>
      </c>
    </row>
    <row r="815" spans="1:23" ht="15.75">
      <c r="A815" s="289">
        <v>43861.4375</v>
      </c>
      <c r="B815" s="289">
        <v>43861.444444444445</v>
      </c>
      <c r="C815" s="289">
        <f t="shared" si="39"/>
        <v>6.9444444452528842E-3</v>
      </c>
      <c r="D815" s="290">
        <v>1.0416666666666666E-2</v>
      </c>
      <c r="E815" s="329" t="s">
        <v>170</v>
      </c>
      <c r="F815" s="330"/>
      <c r="G815" s="330"/>
      <c r="H815" s="330"/>
      <c r="I815" s="330"/>
      <c r="J815" s="330"/>
      <c r="K815" s="330"/>
      <c r="L815" s="330"/>
      <c r="M815" s="330"/>
      <c r="N815" s="330"/>
      <c r="O815" s="330"/>
      <c r="P815" s="330"/>
      <c r="Q815" s="330"/>
      <c r="R815" s="330"/>
      <c r="S815" s="330"/>
      <c r="T815" s="330"/>
      <c r="U815" s="331"/>
      <c r="V815" s="247" t="e">
        <f>VLOOKUP(E815,Лист4!A$2:G$395,7,FALSE)</f>
        <v>#N/A</v>
      </c>
      <c r="W815" s="247">
        <f>IF(ISNA(V815),VLOOKUP(E815,категория!A$42:C$74,3,),6.94+R815*8.333/VLOOKUP(V815,категория!A$42:C$74,2,))</f>
        <v>2.085</v>
      </c>
    </row>
    <row r="816" spans="1:23" ht="15.75">
      <c r="A816" s="289">
        <v>43861.444444444445</v>
      </c>
      <c r="B816" s="289">
        <v>43861.465277777781</v>
      </c>
      <c r="C816" s="289">
        <f t="shared" si="39"/>
        <v>2.0833333335758653E-2</v>
      </c>
      <c r="D816" s="290">
        <v>2.0833333333333332E-2</v>
      </c>
      <c r="E816" s="329" t="s">
        <v>23</v>
      </c>
      <c r="F816" s="330"/>
      <c r="G816" s="330"/>
      <c r="H816" s="330"/>
      <c r="I816" s="330"/>
      <c r="J816" s="330"/>
      <c r="K816" s="330"/>
      <c r="L816" s="330"/>
      <c r="M816" s="330"/>
      <c r="N816" s="330"/>
      <c r="O816" s="330"/>
      <c r="P816" s="330"/>
      <c r="Q816" s="330"/>
      <c r="R816" s="330"/>
      <c r="S816" s="330"/>
      <c r="T816" s="330"/>
      <c r="U816" s="331"/>
      <c r="V816" s="247" t="e">
        <f>VLOOKUP(E816,Лист4!A$2:G$395,7,FALSE)</f>
        <v>#N/A</v>
      </c>
      <c r="W816" s="247">
        <f>IF(ISNA(V816),VLOOKUP(E816,категория!A$42:C$74,3,),6.94+R816*8.333/VLOOKUP(V816,категория!A$42:C$74,2,))</f>
        <v>2.78</v>
      </c>
    </row>
    <row r="817" spans="1:23" ht="15.75">
      <c r="A817" s="289">
        <v>43861.465277777781</v>
      </c>
      <c r="B817" s="289">
        <v>43861.552083333336</v>
      </c>
      <c r="C817" s="289">
        <f t="shared" si="39"/>
        <v>8.6805555554747116E-2</v>
      </c>
      <c r="D817" s="290">
        <v>4.1666666666666664E-2</v>
      </c>
      <c r="E817" s="329" t="s">
        <v>28</v>
      </c>
      <c r="F817" s="330"/>
      <c r="G817" s="330"/>
      <c r="H817" s="330"/>
      <c r="I817" s="330"/>
      <c r="J817" s="330"/>
      <c r="K817" s="330"/>
      <c r="L817" s="330"/>
      <c r="M817" s="330"/>
      <c r="N817" s="330"/>
      <c r="O817" s="330"/>
      <c r="P817" s="330"/>
      <c r="Q817" s="330"/>
      <c r="R817" s="330"/>
      <c r="S817" s="330"/>
      <c r="T817" s="330"/>
      <c r="U817" s="331"/>
      <c r="V817" s="247" t="e">
        <f>VLOOKUP(E817,Лист4!A$2:G$395,7,FALSE)</f>
        <v>#N/A</v>
      </c>
      <c r="W817" s="247">
        <f>IF(ISNA(V817),VLOOKUP(E817,категория!A$42:C$74,3,),6.94+R817*8.333/VLOOKUP(V817,категория!A$42:C$74,2,))</f>
        <v>8.3332999999999995</v>
      </c>
    </row>
    <row r="818" spans="1:23" ht="33.75" customHeight="1">
      <c r="A818" s="289">
        <v>43861.552083333336</v>
      </c>
      <c r="B818" s="289">
        <v>43861.583333333336</v>
      </c>
      <c r="C818" s="289">
        <f t="shared" si="39"/>
        <v>3.125E-2</v>
      </c>
      <c r="D818" s="290">
        <v>3.125E-2</v>
      </c>
      <c r="E818" s="291">
        <v>220</v>
      </c>
      <c r="F818" s="292" t="s">
        <v>407</v>
      </c>
      <c r="G818" s="292" t="s">
        <v>579</v>
      </c>
      <c r="H818" s="293" t="s">
        <v>226</v>
      </c>
      <c r="I818" s="294">
        <v>43861</v>
      </c>
      <c r="J818" s="295"/>
      <c r="K818" s="291" t="s">
        <v>227</v>
      </c>
      <c r="L818" s="296"/>
      <c r="M818" s="297"/>
      <c r="N818" s="292" t="s">
        <v>35</v>
      </c>
      <c r="O818" s="291">
        <v>250</v>
      </c>
      <c r="P818" s="291" t="s">
        <v>236</v>
      </c>
      <c r="Q818" s="298" t="s">
        <v>229</v>
      </c>
      <c r="R818" s="299">
        <v>1100</v>
      </c>
      <c r="S818" s="299">
        <v>1292</v>
      </c>
      <c r="T818" s="295" t="s">
        <v>232</v>
      </c>
      <c r="U818" s="299" t="s">
        <v>230</v>
      </c>
      <c r="V818" s="247" t="str">
        <f>VLOOKUP(E818,Лист4!A$2:G$395,7,FALSE)</f>
        <v>картон до 250</v>
      </c>
      <c r="W818" s="247">
        <f>IF(ISNA(V818),VLOOKUP(E818,категория!A$42:C$74,3,),6.94+R818*8.333/VLOOKUP(V818,категория!A$42:C$74,2,))</f>
        <v>9.717666666666668</v>
      </c>
    </row>
    <row r="819" spans="1:23" ht="15.75">
      <c r="A819" s="289">
        <v>43861.583333333336</v>
      </c>
      <c r="B819" s="289">
        <v>43861.597222222219</v>
      </c>
      <c r="C819" s="289">
        <f t="shared" si="39"/>
        <v>1.3888888883229811E-2</v>
      </c>
      <c r="D819" s="290">
        <v>2.0833333333333332E-2</v>
      </c>
      <c r="E819" s="329" t="s">
        <v>2</v>
      </c>
      <c r="F819" s="330"/>
      <c r="G819" s="330"/>
      <c r="H819" s="330"/>
      <c r="I819" s="330"/>
      <c r="J819" s="330"/>
      <c r="K819" s="330"/>
      <c r="L819" s="330"/>
      <c r="M819" s="330"/>
      <c r="N819" s="330"/>
      <c r="O819" s="330"/>
      <c r="P819" s="330"/>
      <c r="Q819" s="330"/>
      <c r="R819" s="330"/>
      <c r="S819" s="330"/>
      <c r="T819" s="330"/>
      <c r="U819" s="331"/>
      <c r="V819" s="247" t="e">
        <f>VLOOKUP(E819,Лист4!A$2:G$395,7,FALSE)</f>
        <v>#N/A</v>
      </c>
      <c r="W819" s="247">
        <f>IF(ISNA(V819),VLOOKUP(E819,категория!A$42:C$74,3,),6.94+R819*8.333/VLOOKUP(V819,категория!A$42:C$74,2,))</f>
        <v>4.17</v>
      </c>
    </row>
    <row r="820" spans="1:23" ht="15.75">
      <c r="A820" s="289">
        <v>43861.597222222219</v>
      </c>
      <c r="B820" s="289">
        <v>43861.614583333336</v>
      </c>
      <c r="C820" s="289">
        <f t="shared" si="39"/>
        <v>1.7361111116770189E-2</v>
      </c>
      <c r="D820" s="290">
        <v>1.7361111111111112E-2</v>
      </c>
      <c r="E820" s="329" t="s">
        <v>3</v>
      </c>
      <c r="F820" s="330"/>
      <c r="G820" s="330"/>
      <c r="H820" s="330"/>
      <c r="I820" s="330"/>
      <c r="J820" s="330"/>
      <c r="K820" s="330"/>
      <c r="L820" s="330"/>
      <c r="M820" s="330"/>
      <c r="N820" s="330"/>
      <c r="O820" s="330"/>
      <c r="P820" s="330"/>
      <c r="Q820" s="330"/>
      <c r="R820" s="330"/>
      <c r="S820" s="330"/>
      <c r="T820" s="330"/>
      <c r="U820" s="331"/>
      <c r="V820" s="247" t="e">
        <f>VLOOKUP(E820,Лист4!A$2:G$395,7,FALSE)</f>
        <v>#N/A</v>
      </c>
      <c r="W820" s="247">
        <f>IF(ISNA(V820),VLOOKUP(E820,категория!A$42:C$74,3,),6.94+R820*8.333/VLOOKUP(V820,категория!A$42:C$74,2,))</f>
        <v>4.17</v>
      </c>
    </row>
    <row r="821" spans="1:23" ht="15.75">
      <c r="A821" s="289">
        <v>43861.614583333336</v>
      </c>
      <c r="B821" s="289">
        <v>43861.631944444445</v>
      </c>
      <c r="C821" s="289">
        <f t="shared" si="39"/>
        <v>1.7361111109494232E-2</v>
      </c>
      <c r="D821" s="290">
        <v>2.0833333333333332E-2</v>
      </c>
      <c r="E821" s="329" t="s">
        <v>8</v>
      </c>
      <c r="F821" s="330"/>
      <c r="G821" s="330"/>
      <c r="H821" s="330"/>
      <c r="I821" s="330"/>
      <c r="J821" s="330"/>
      <c r="K821" s="330"/>
      <c r="L821" s="330"/>
      <c r="M821" s="330"/>
      <c r="N821" s="330"/>
      <c r="O821" s="330"/>
      <c r="P821" s="330"/>
      <c r="Q821" s="330"/>
      <c r="R821" s="330"/>
      <c r="S821" s="330"/>
      <c r="T821" s="330"/>
      <c r="U821" s="331"/>
      <c r="V821" s="247" t="e">
        <f>VLOOKUP(E821,Лист4!A$2:G$395,7,FALSE)</f>
        <v>#N/A</v>
      </c>
      <c r="W821" s="247">
        <f>IF(ISNA(V821),VLOOKUP(E821,категория!A$42:C$74,3,),6.94+R821*8.333/VLOOKUP(V821,категория!A$42:C$74,2,))</f>
        <v>4.17</v>
      </c>
    </row>
    <row r="822" spans="1:23" ht="15.75">
      <c r="A822" s="289">
        <v>43861.631944444445</v>
      </c>
      <c r="B822" s="289">
        <v>43861.645833333336</v>
      </c>
      <c r="C822" s="289">
        <f t="shared" si="39"/>
        <v>1.3888888890505768E-2</v>
      </c>
      <c r="D822" s="290">
        <v>4.1666666666666664E-2</v>
      </c>
      <c r="E822" s="329" t="s">
        <v>580</v>
      </c>
      <c r="F822" s="330"/>
      <c r="G822" s="330"/>
      <c r="H822" s="330"/>
      <c r="I822" s="330"/>
      <c r="J822" s="330"/>
      <c r="K822" s="330"/>
      <c r="L822" s="330"/>
      <c r="M822" s="330"/>
      <c r="N822" s="330"/>
      <c r="O822" s="330"/>
      <c r="P822" s="330"/>
      <c r="Q822" s="330"/>
      <c r="R822" s="330"/>
      <c r="S822" s="330"/>
      <c r="T822" s="330"/>
      <c r="U822" s="331"/>
      <c r="V822" s="247" t="e">
        <f>VLOOKUP(E822,Лист4!A$2:G$395,7,FALSE)</f>
        <v>#N/A</v>
      </c>
      <c r="W822" s="247">
        <f>8.33*0.333</f>
        <v>2.7738900000000002</v>
      </c>
    </row>
    <row r="823" spans="1:23" ht="24" customHeight="1">
      <c r="A823" s="289">
        <v>43861.645833333336</v>
      </c>
      <c r="B823" s="289">
        <v>43861.673611111109</v>
      </c>
      <c r="C823" s="289">
        <f t="shared" si="39"/>
        <v>2.7777777773735579E-2</v>
      </c>
      <c r="D823" s="290">
        <v>2.7777777777777776E-2</v>
      </c>
      <c r="E823" s="291">
        <v>260</v>
      </c>
      <c r="F823" s="292" t="s">
        <v>581</v>
      </c>
      <c r="G823" s="292" t="s">
        <v>582</v>
      </c>
      <c r="H823" s="293" t="s">
        <v>226</v>
      </c>
      <c r="I823" s="294">
        <v>43866</v>
      </c>
      <c r="J823" s="295"/>
      <c r="K823" s="291" t="s">
        <v>267</v>
      </c>
      <c r="L823" s="296" t="s">
        <v>232</v>
      </c>
      <c r="M823" s="297"/>
      <c r="N823" s="292" t="s">
        <v>40</v>
      </c>
      <c r="O823" s="291">
        <v>295</v>
      </c>
      <c r="P823" s="291" t="s">
        <v>236</v>
      </c>
      <c r="Q823" s="298" t="s">
        <v>229</v>
      </c>
      <c r="R823" s="299">
        <v>880</v>
      </c>
      <c r="S823" s="299">
        <v>1047</v>
      </c>
      <c r="T823" s="295" t="s">
        <v>232</v>
      </c>
      <c r="U823" s="299" t="s">
        <v>230</v>
      </c>
      <c r="V823" s="247" t="str">
        <f>VLOOKUP(E823,Лист4!A$2:G$395,7,FALSE)</f>
        <v>картон от 270</v>
      </c>
      <c r="W823" s="247">
        <f>IF(ISNA(V823),VLOOKUP(E823,категория!A$42:C$74,3,),6.94/2+R823*8.333/VLOOKUP(V823,категория!A$42:C$74,2,))</f>
        <v>5.9986344827586207</v>
      </c>
    </row>
    <row r="824" spans="1:23" ht="15.75">
      <c r="A824" s="289">
        <v>43861.673611111109</v>
      </c>
      <c r="B824" s="289">
        <v>43861.680555555555</v>
      </c>
      <c r="C824" s="289">
        <f t="shared" si="39"/>
        <v>6.9444444452528842E-3</v>
      </c>
      <c r="D824" s="290">
        <v>1.0416666666666666E-2</v>
      </c>
      <c r="E824" s="329" t="s">
        <v>170</v>
      </c>
      <c r="F824" s="330"/>
      <c r="G824" s="330"/>
      <c r="H824" s="330"/>
      <c r="I824" s="330"/>
      <c r="J824" s="330"/>
      <c r="K824" s="330"/>
      <c r="L824" s="330"/>
      <c r="M824" s="330"/>
      <c r="N824" s="330"/>
      <c r="O824" s="330"/>
      <c r="P824" s="330"/>
      <c r="Q824" s="330"/>
      <c r="R824" s="330"/>
      <c r="S824" s="330"/>
      <c r="T824" s="330"/>
      <c r="U824" s="331"/>
      <c r="V824" s="247" t="e">
        <f>VLOOKUP(E824,Лист4!A$2:G$395,7,FALSE)</f>
        <v>#N/A</v>
      </c>
      <c r="W824" s="247">
        <f>IF(ISNA(V824),VLOOKUP(E824,категория!A$42:C$74,3,),6.94+R824*8.333/VLOOKUP(V824,категория!A$42:C$74,2,))</f>
        <v>2.085</v>
      </c>
    </row>
    <row r="825" spans="1:23" ht="15.75">
      <c r="A825" s="289">
        <v>43861.680555555555</v>
      </c>
      <c r="B825" s="289">
        <v>43861.697916666664</v>
      </c>
      <c r="C825" s="289">
        <f t="shared" si="39"/>
        <v>1.7361111109494232E-2</v>
      </c>
      <c r="D825" s="290">
        <v>1.7361111111111112E-2</v>
      </c>
      <c r="E825" s="329" t="s">
        <v>3</v>
      </c>
      <c r="F825" s="330"/>
      <c r="G825" s="330"/>
      <c r="H825" s="330"/>
      <c r="I825" s="330"/>
      <c r="J825" s="330"/>
      <c r="K825" s="330"/>
      <c r="L825" s="330"/>
      <c r="M825" s="330"/>
      <c r="N825" s="330"/>
      <c r="O825" s="330"/>
      <c r="P825" s="330"/>
      <c r="Q825" s="330"/>
      <c r="R825" s="330"/>
      <c r="S825" s="330"/>
      <c r="T825" s="330"/>
      <c r="U825" s="331"/>
      <c r="V825" s="247" t="e">
        <f>VLOOKUP(E825,Лист4!A$2:G$395,7,FALSE)</f>
        <v>#N/A</v>
      </c>
      <c r="W825" s="247">
        <f>IF(ISNA(V825),VLOOKUP(E825,категория!A$42:C$74,3,),6.94+R825*8.333/VLOOKUP(V825,категория!A$42:C$74,2,))</f>
        <v>4.17</v>
      </c>
    </row>
    <row r="826" spans="1:23" ht="18" customHeight="1">
      <c r="A826" s="289">
        <v>43861.697916666664</v>
      </c>
      <c r="B826" s="289">
        <v>43861.715277777781</v>
      </c>
      <c r="C826" s="289">
        <f t="shared" si="39"/>
        <v>1.7361111116770189E-2</v>
      </c>
      <c r="D826" s="290">
        <v>2.0833333333333332E-2</v>
      </c>
      <c r="E826" s="329" t="s">
        <v>8</v>
      </c>
      <c r="F826" s="330"/>
      <c r="G826" s="330"/>
      <c r="H826" s="330"/>
      <c r="I826" s="330"/>
      <c r="J826" s="330"/>
      <c r="K826" s="330"/>
      <c r="L826" s="330"/>
      <c r="M826" s="330"/>
      <c r="N826" s="330"/>
      <c r="O826" s="330"/>
      <c r="P826" s="330"/>
      <c r="Q826" s="330"/>
      <c r="R826" s="330"/>
      <c r="S826" s="330"/>
      <c r="T826" s="330"/>
      <c r="U826" s="331"/>
      <c r="V826" s="247" t="e">
        <f>VLOOKUP(E826,Лист4!A$2:G$395,7,FALSE)</f>
        <v>#N/A</v>
      </c>
      <c r="W826" s="247">
        <f>IF(ISNA(V826),VLOOKUP(E826,категория!A$42:C$74,3,),6.94+R826*8.333/VLOOKUP(V826,категория!A$42:C$74,2,))</f>
        <v>4.17</v>
      </c>
    </row>
    <row r="827" spans="1:23" ht="108">
      <c r="A827" s="289">
        <v>43861.715277777781</v>
      </c>
      <c r="B827" s="289">
        <v>43861.743055555555</v>
      </c>
      <c r="C827" s="289">
        <f t="shared" si="39"/>
        <v>2.7777777773735579E-2</v>
      </c>
      <c r="D827" s="290">
        <v>2.7777777777777776E-2</v>
      </c>
      <c r="E827" s="291">
        <v>220</v>
      </c>
      <c r="F827" s="292" t="s">
        <v>407</v>
      </c>
      <c r="G827" s="292" t="s">
        <v>579</v>
      </c>
      <c r="H827" s="293" t="s">
        <v>273</v>
      </c>
      <c r="I827" s="294">
        <v>43861</v>
      </c>
      <c r="J827" s="295"/>
      <c r="K827" s="291" t="s">
        <v>256</v>
      </c>
      <c r="L827" s="296" t="s">
        <v>232</v>
      </c>
      <c r="M827" s="297"/>
      <c r="N827" s="292" t="s">
        <v>35</v>
      </c>
      <c r="O827" s="291">
        <v>0</v>
      </c>
      <c r="P827" s="291" t="s">
        <v>236</v>
      </c>
      <c r="Q827" s="298" t="s">
        <v>241</v>
      </c>
      <c r="R827" s="299">
        <v>1080</v>
      </c>
      <c r="S827" s="299">
        <v>1035</v>
      </c>
      <c r="T827" s="295" t="s">
        <v>232</v>
      </c>
      <c r="U827" s="299" t="s">
        <v>230</v>
      </c>
      <c r="V827" s="247" t="str">
        <f>VLOOKUP(E827,Лист4!A$2:G$395,7,FALSE)</f>
        <v>картон до 250</v>
      </c>
      <c r="W827" s="247">
        <f>IF(ISNA(V827),VLOOKUP(E827,категория!A$42:C$74,3,),6.94/4+R827*8.333/VLOOKUP(V827,категория!A$42:C$74,2,))</f>
        <v>4.4621636363636359</v>
      </c>
    </row>
    <row r="828" spans="1:23" ht="15.75">
      <c r="A828" s="289">
        <v>43861.743055555555</v>
      </c>
      <c r="B828" s="289">
        <v>43861.75</v>
      </c>
      <c r="C828" s="289">
        <f t="shared" si="39"/>
        <v>6.9444444452528842E-3</v>
      </c>
      <c r="D828" s="290">
        <v>1.0416666666666666E-2</v>
      </c>
      <c r="E828" s="329" t="s">
        <v>170</v>
      </c>
      <c r="F828" s="330"/>
      <c r="G828" s="330"/>
      <c r="H828" s="330"/>
      <c r="I828" s="330"/>
      <c r="J828" s="330"/>
      <c r="K828" s="330"/>
      <c r="L828" s="330"/>
      <c r="M828" s="330"/>
      <c r="N828" s="330"/>
      <c r="O828" s="330"/>
      <c r="P828" s="330"/>
      <c r="Q828" s="330"/>
      <c r="R828" s="330"/>
      <c r="S828" s="330"/>
      <c r="T828" s="330"/>
      <c r="U828" s="331"/>
      <c r="V828" s="247" t="e">
        <f>VLOOKUP(E828,Лист4!A$2:G$395,7,FALSE)</f>
        <v>#N/A</v>
      </c>
      <c r="W828" s="247">
        <f>IF(ISNA(V828),VLOOKUP(E828,категория!A$42:C$74,3,),6.94+R828*8.333/VLOOKUP(V828,категория!A$42:C$74,2,))</f>
        <v>2.085</v>
      </c>
    </row>
    <row r="829" spans="1:23" ht="15.75">
      <c r="A829" s="289">
        <v>43861.75</v>
      </c>
      <c r="B829" s="289">
        <v>43861.767361111109</v>
      </c>
      <c r="C829" s="289">
        <f t="shared" si="39"/>
        <v>1.7361111109494232E-2</v>
      </c>
      <c r="D829" s="290">
        <v>1.7361111111111112E-2</v>
      </c>
      <c r="E829" s="329" t="s">
        <v>3</v>
      </c>
      <c r="F829" s="330"/>
      <c r="G829" s="330"/>
      <c r="H829" s="330"/>
      <c r="I829" s="330"/>
      <c r="J829" s="330"/>
      <c r="K829" s="330"/>
      <c r="L829" s="330"/>
      <c r="M829" s="330"/>
      <c r="N829" s="330"/>
      <c r="O829" s="330"/>
      <c r="P829" s="330"/>
      <c r="Q829" s="330"/>
      <c r="R829" s="330"/>
      <c r="S829" s="330"/>
      <c r="T829" s="330"/>
      <c r="U829" s="331"/>
      <c r="V829" s="247" t="e">
        <f>VLOOKUP(E829,Лист4!A$2:G$395,7,FALSE)</f>
        <v>#N/A</v>
      </c>
      <c r="W829" s="247">
        <f>IF(ISNA(V829),VLOOKUP(E829,категория!A$42:C$74,3,),6.94+R829*8.333/VLOOKUP(V829,категория!A$42:C$74,2,))</f>
        <v>4.17</v>
      </c>
    </row>
    <row r="830" spans="1:23" ht="25.5" customHeight="1">
      <c r="A830" s="289">
        <v>43861.767361111109</v>
      </c>
      <c r="B830" s="289">
        <v>43861.8125</v>
      </c>
      <c r="C830" s="289">
        <f t="shared" si="39"/>
        <v>4.5138888890505768E-2</v>
      </c>
      <c r="D830" s="290">
        <v>4.1666666666666664E-2</v>
      </c>
      <c r="E830" s="329" t="s">
        <v>7</v>
      </c>
      <c r="F830" s="330"/>
      <c r="G830" s="330"/>
      <c r="H830" s="330"/>
      <c r="I830" s="330"/>
      <c r="J830" s="330"/>
      <c r="K830" s="330"/>
      <c r="L830" s="330"/>
      <c r="M830" s="330"/>
      <c r="N830" s="330"/>
      <c r="O830" s="330"/>
      <c r="P830" s="330"/>
      <c r="Q830" s="330"/>
      <c r="R830" s="330"/>
      <c r="S830" s="330"/>
      <c r="T830" s="330"/>
      <c r="U830" s="331"/>
      <c r="V830" s="247" t="e">
        <f>VLOOKUP(E830,Лист4!A$2:G$395,7,FALSE)</f>
        <v>#N/A</v>
      </c>
      <c r="W830" s="247">
        <f>IF(ISNA(V830),VLOOKUP(E830,категория!A$42:C$74,3,),6.94+R830*8.333/VLOOKUP(V830,категория!A$42:C$74,2,))</f>
        <v>8.3332999999999995</v>
      </c>
    </row>
    <row r="831" spans="1:23" ht="15.75">
      <c r="A831" s="289">
        <v>43861.8125</v>
      </c>
      <c r="B831" s="289">
        <v>43861.833333333336</v>
      </c>
      <c r="C831" s="289">
        <f t="shared" si="39"/>
        <v>2.0833333335758653E-2</v>
      </c>
      <c r="D831" s="290">
        <v>2.0833333333333332E-2</v>
      </c>
      <c r="E831" s="329" t="s">
        <v>22</v>
      </c>
      <c r="F831" s="330"/>
      <c r="G831" s="330"/>
      <c r="H831" s="330"/>
      <c r="I831" s="330"/>
      <c r="J831" s="330"/>
      <c r="K831" s="330"/>
      <c r="L831" s="330"/>
      <c r="M831" s="330"/>
      <c r="N831" s="330"/>
      <c r="O831" s="330"/>
      <c r="P831" s="330"/>
      <c r="Q831" s="330"/>
      <c r="R831" s="330"/>
      <c r="S831" s="330"/>
      <c r="T831" s="330"/>
      <c r="U831" s="331"/>
      <c r="V831" s="247" t="e">
        <f>VLOOKUP(E831,Лист4!A$2:G$395,7,FALSE)</f>
        <v>#N/A</v>
      </c>
      <c r="W831" s="247">
        <f>IF(ISNA(V831),VLOOKUP(E831,категория!A$42:C$74,3,),6.94+R831*8.333/VLOOKUP(V831,категория!A$42:C$74,2,))</f>
        <v>4.17</v>
      </c>
    </row>
    <row r="832" spans="1:23" ht="15.75">
      <c r="A832" s="300">
        <v>43861.833333333336</v>
      </c>
      <c r="B832" s="332" t="s">
        <v>583</v>
      </c>
      <c r="C832" s="333"/>
      <c r="D832" s="334"/>
      <c r="E832" s="334"/>
      <c r="F832" s="334"/>
      <c r="G832" s="334"/>
      <c r="H832" s="334"/>
      <c r="I832" s="334"/>
      <c r="J832" s="334"/>
      <c r="K832" s="334"/>
      <c r="L832" s="334"/>
      <c r="M832" s="334"/>
      <c r="N832" s="334"/>
      <c r="O832" s="334"/>
      <c r="P832" s="334"/>
      <c r="Q832" s="334"/>
      <c r="R832" s="334"/>
      <c r="S832" s="334"/>
      <c r="T832" s="334"/>
      <c r="U832" s="335"/>
      <c r="V832" s="247" t="e">
        <f>VLOOKUP(E832,Лист4!A$2:G$395,7,FALSE)</f>
        <v>#N/A</v>
      </c>
      <c r="W832" s="52">
        <f>SUM(W812:W831)</f>
        <v>95.584747889237207</v>
      </c>
    </row>
    <row r="833" spans="1:23" ht="15.75">
      <c r="A833" s="289">
        <v>43861.833333333336</v>
      </c>
      <c r="B833" s="289">
        <v>43861.854166666664</v>
      </c>
      <c r="C833" s="289">
        <f>B833-A833</f>
        <v>2.0833333328482695E-2</v>
      </c>
      <c r="D833" s="290">
        <v>2.0833333333333332E-2</v>
      </c>
      <c r="E833" s="329" t="s">
        <v>22</v>
      </c>
      <c r="F833" s="330"/>
      <c r="G833" s="330"/>
      <c r="H833" s="330"/>
      <c r="I833" s="330"/>
      <c r="J833" s="330"/>
      <c r="K833" s="330"/>
      <c r="L833" s="330"/>
      <c r="M833" s="330"/>
      <c r="N833" s="330"/>
      <c r="O833" s="330"/>
      <c r="P833" s="330"/>
      <c r="Q833" s="330"/>
      <c r="R833" s="330"/>
      <c r="S833" s="330"/>
      <c r="T833" s="330"/>
      <c r="U833" s="331"/>
      <c r="V833" s="247" t="e">
        <f>VLOOKUP(E833,Лист4!A$2:G$395,7,FALSE)</f>
        <v>#N/A</v>
      </c>
      <c r="W833" s="247">
        <f>IF(ISNA(V833),VLOOKUP(E833,категория!A$42:C$74,3,),6.94+R833*8.333/VLOOKUP(V833,категория!A$42:C$74,2,))</f>
        <v>4.17</v>
      </c>
    </row>
    <row r="834" spans="1:23" ht="15.75">
      <c r="A834" s="289">
        <v>43861.854166666664</v>
      </c>
      <c r="B834" s="289">
        <v>43861.868055555555</v>
      </c>
      <c r="C834" s="289">
        <f t="shared" ref="C834:C861" si="40">B834-A834</f>
        <v>1.3888888890505768E-2</v>
      </c>
      <c r="D834" s="290">
        <v>2.0833333333333332E-2</v>
      </c>
      <c r="E834" s="329" t="s">
        <v>8</v>
      </c>
      <c r="F834" s="330"/>
      <c r="G834" s="330"/>
      <c r="H834" s="330"/>
      <c r="I834" s="330"/>
      <c r="J834" s="330"/>
      <c r="K834" s="330"/>
      <c r="L834" s="330"/>
      <c r="M834" s="330"/>
      <c r="N834" s="330"/>
      <c r="O834" s="330"/>
      <c r="P834" s="330"/>
      <c r="Q834" s="330"/>
      <c r="R834" s="330"/>
      <c r="S834" s="330"/>
      <c r="T834" s="330"/>
      <c r="U834" s="331"/>
      <c r="V834" s="247" t="e">
        <f>VLOOKUP(E834,Лист4!A$2:G$395,7,FALSE)</f>
        <v>#N/A</v>
      </c>
      <c r="W834" s="247">
        <f>IF(ISNA(V834),VLOOKUP(E834,категория!A$42:C$74,3,),6.94+R834*8.333/VLOOKUP(V834,категория!A$42:C$74,2,))</f>
        <v>4.17</v>
      </c>
    </row>
    <row r="835" spans="1:23" ht="15.75">
      <c r="A835" s="289">
        <v>43861.868055555555</v>
      </c>
      <c r="B835" s="289">
        <v>43861.916666666664</v>
      </c>
      <c r="C835" s="289">
        <f t="shared" si="40"/>
        <v>4.8611111109494232E-2</v>
      </c>
      <c r="D835" s="290">
        <v>4.1666666666666664E-2</v>
      </c>
      <c r="E835" s="329" t="s">
        <v>584</v>
      </c>
      <c r="F835" s="330"/>
      <c r="G835" s="330"/>
      <c r="H835" s="330"/>
      <c r="I835" s="330"/>
      <c r="J835" s="330"/>
      <c r="K835" s="330"/>
      <c r="L835" s="330"/>
      <c r="M835" s="330"/>
      <c r="N835" s="330"/>
      <c r="O835" s="330"/>
      <c r="P835" s="330"/>
      <c r="Q835" s="330"/>
      <c r="R835" s="330"/>
      <c r="S835" s="330"/>
      <c r="T835" s="330"/>
      <c r="U835" s="331"/>
      <c r="V835" s="247" t="e">
        <f>VLOOKUP(E835,Лист4!A$2:G$395,7,FALSE)</f>
        <v>#N/A</v>
      </c>
      <c r="W835" s="247">
        <f>8.33*1.16</f>
        <v>9.6627999999999989</v>
      </c>
    </row>
    <row r="836" spans="1:23" ht="60">
      <c r="A836" s="336">
        <v>43861.916666666664</v>
      </c>
      <c r="B836" s="336">
        <v>43861.934027777781</v>
      </c>
      <c r="C836" s="289">
        <f t="shared" si="40"/>
        <v>1.7361111116770189E-2</v>
      </c>
      <c r="D836" s="338">
        <v>1.7361111111111112E-2</v>
      </c>
      <c r="E836" s="340">
        <v>262</v>
      </c>
      <c r="F836" s="292" t="s">
        <v>581</v>
      </c>
      <c r="G836" s="292" t="s">
        <v>585</v>
      </c>
      <c r="H836" s="293" t="s">
        <v>226</v>
      </c>
      <c r="I836" s="294">
        <v>43866</v>
      </c>
      <c r="J836" s="295"/>
      <c r="K836" s="291" t="s">
        <v>227</v>
      </c>
      <c r="L836" s="296"/>
      <c r="M836" s="297"/>
      <c r="N836" s="292" t="s">
        <v>40</v>
      </c>
      <c r="O836" s="291">
        <v>270</v>
      </c>
      <c r="P836" s="291" t="s">
        <v>272</v>
      </c>
      <c r="Q836" s="298" t="s">
        <v>229</v>
      </c>
      <c r="R836" s="299">
        <v>1800</v>
      </c>
      <c r="S836" s="299">
        <v>1885</v>
      </c>
      <c r="T836" s="295" t="s">
        <v>232</v>
      </c>
      <c r="U836" s="299" t="s">
        <v>76</v>
      </c>
      <c r="V836" s="247" t="str">
        <f>VLOOKUP(E836,Лист4!A$2:G$395,7,FALSE)</f>
        <v>картон от 270</v>
      </c>
      <c r="W836" s="247">
        <f>IF(ISNA(V836),VLOOKUP(E836,категория!A$42:C$74,3,),6.94+R836*8.333/VLOOKUP(V836,категория!A$42:C$74,2,))</f>
        <v>12.112206896551724</v>
      </c>
    </row>
    <row r="837" spans="1:23">
      <c r="A837" s="337"/>
      <c r="B837" s="337"/>
      <c r="C837" s="289">
        <f t="shared" si="40"/>
        <v>0</v>
      </c>
      <c r="D837" s="339"/>
      <c r="E837" s="341"/>
      <c r="F837" s="342" t="s">
        <v>586</v>
      </c>
      <c r="G837" s="343"/>
      <c r="H837" s="343"/>
      <c r="I837" s="343"/>
      <c r="J837" s="343"/>
      <c r="K837" s="343"/>
      <c r="L837" s="343"/>
      <c r="M837" s="343"/>
      <c r="N837" s="343"/>
      <c r="O837" s="343"/>
      <c r="P837" s="343"/>
      <c r="Q837" s="343"/>
      <c r="R837" s="343"/>
      <c r="S837" s="343"/>
      <c r="T837" s="343"/>
      <c r="U837" s="344"/>
      <c r="V837" s="247" t="e">
        <f>VLOOKUP(E837,Лист4!A$2:G$395,7,FALSE)</f>
        <v>#N/A</v>
      </c>
      <c r="W837" s="247">
        <v>0</v>
      </c>
    </row>
    <row r="838" spans="1:23" ht="15.75">
      <c r="A838" s="289">
        <v>43861.934027777781</v>
      </c>
      <c r="B838" s="289">
        <v>43861.9375</v>
      </c>
      <c r="C838" s="289">
        <f t="shared" si="40"/>
        <v>3.4722222189884633E-3</v>
      </c>
      <c r="D838" s="290">
        <v>1.0416666666666666E-2</v>
      </c>
      <c r="E838" s="329" t="s">
        <v>170</v>
      </c>
      <c r="F838" s="330"/>
      <c r="G838" s="330"/>
      <c r="H838" s="330"/>
      <c r="I838" s="330"/>
      <c r="J838" s="330"/>
      <c r="K838" s="330"/>
      <c r="L838" s="330"/>
      <c r="M838" s="330"/>
      <c r="N838" s="330"/>
      <c r="O838" s="330"/>
      <c r="P838" s="330"/>
      <c r="Q838" s="330"/>
      <c r="R838" s="330"/>
      <c r="S838" s="330"/>
      <c r="T838" s="330"/>
      <c r="U838" s="331"/>
      <c r="V838" s="247" t="e">
        <f>VLOOKUP(E838,Лист4!A$2:G$395,7,FALSE)</f>
        <v>#N/A</v>
      </c>
      <c r="W838" s="247">
        <f>IF(ISNA(V838),VLOOKUP(E838,категория!A$42:C$74,3,),6.94+R838*8.333/VLOOKUP(V838,категория!A$42:C$74,2,))</f>
        <v>2.085</v>
      </c>
    </row>
    <row r="839" spans="1:23" ht="48">
      <c r="A839" s="289">
        <v>43861.9375</v>
      </c>
      <c r="B839" s="289">
        <v>43861.961805555555</v>
      </c>
      <c r="C839" s="289">
        <f t="shared" si="40"/>
        <v>2.4305555554747116E-2</v>
      </c>
      <c r="D839" s="290">
        <v>2.4305555555555556E-2</v>
      </c>
      <c r="E839" s="291">
        <v>274</v>
      </c>
      <c r="F839" s="292" t="s">
        <v>249</v>
      </c>
      <c r="G839" s="292" t="s">
        <v>587</v>
      </c>
      <c r="H839" s="293" t="s">
        <v>252</v>
      </c>
      <c r="I839" s="294">
        <v>43864</v>
      </c>
      <c r="J839" s="295"/>
      <c r="K839" s="291" t="s">
        <v>227</v>
      </c>
      <c r="L839" s="296"/>
      <c r="M839" s="297"/>
      <c r="N839" s="292" t="s">
        <v>41</v>
      </c>
      <c r="O839" s="291">
        <v>250</v>
      </c>
      <c r="P839" s="291" t="s">
        <v>228</v>
      </c>
      <c r="Q839" s="298" t="s">
        <v>229</v>
      </c>
      <c r="R839" s="299">
        <v>761</v>
      </c>
      <c r="S839" s="299">
        <v>1086</v>
      </c>
      <c r="T839" s="295"/>
      <c r="U839" s="299" t="s">
        <v>76</v>
      </c>
      <c r="V839" s="247" t="s">
        <v>60</v>
      </c>
      <c r="W839" s="247">
        <f>IF(ISNA(V839),VLOOKUP(E839,категория!A$42:C$74,3,),6.94+R839*8.333/VLOOKUP(V839,категория!A$42:C$74,2,))</f>
        <v>8.8616403030303026</v>
      </c>
    </row>
    <row r="840" spans="1:23" ht="15.75">
      <c r="A840" s="289">
        <v>43861.961805555555</v>
      </c>
      <c r="B840" s="289">
        <v>43861.965277777781</v>
      </c>
      <c r="C840" s="289">
        <f t="shared" si="40"/>
        <v>3.4722222262644209E-3</v>
      </c>
      <c r="D840" s="290">
        <v>3.472222222222222E-3</v>
      </c>
      <c r="E840" s="329" t="s">
        <v>170</v>
      </c>
      <c r="F840" s="330"/>
      <c r="G840" s="330"/>
      <c r="H840" s="330"/>
      <c r="I840" s="330"/>
      <c r="J840" s="330"/>
      <c r="K840" s="330"/>
      <c r="L840" s="330"/>
      <c r="M840" s="330"/>
      <c r="N840" s="330"/>
      <c r="O840" s="330"/>
      <c r="P840" s="330"/>
      <c r="Q840" s="330"/>
      <c r="R840" s="330"/>
      <c r="S840" s="330"/>
      <c r="T840" s="330"/>
      <c r="U840" s="331"/>
      <c r="V840" s="247" t="e">
        <f>VLOOKUP(E840,Лист4!A$2:G$395,7,FALSE)</f>
        <v>#N/A</v>
      </c>
      <c r="W840" s="247">
        <f>IF(ISNA(V840),VLOOKUP(E840,категория!A$42:C$74,3,),6.94+R840*8.333/VLOOKUP(V840,категория!A$42:C$74,2,))</f>
        <v>2.085</v>
      </c>
    </row>
    <row r="841" spans="1:23" ht="15.75">
      <c r="A841" s="289">
        <v>43861.965277777781</v>
      </c>
      <c r="B841" s="289">
        <v>43861.986111111109</v>
      </c>
      <c r="C841" s="289">
        <f t="shared" si="40"/>
        <v>2.0833333328482695E-2</v>
      </c>
      <c r="D841" s="290">
        <v>2.0833333333333332E-2</v>
      </c>
      <c r="E841" s="329" t="s">
        <v>23</v>
      </c>
      <c r="F841" s="330"/>
      <c r="G841" s="330"/>
      <c r="H841" s="330"/>
      <c r="I841" s="330"/>
      <c r="J841" s="330"/>
      <c r="K841" s="330"/>
      <c r="L841" s="330"/>
      <c r="M841" s="330"/>
      <c r="N841" s="330"/>
      <c r="O841" s="330"/>
      <c r="P841" s="330"/>
      <c r="Q841" s="330"/>
      <c r="R841" s="330"/>
      <c r="S841" s="330"/>
      <c r="T841" s="330"/>
      <c r="U841" s="331"/>
      <c r="V841" s="247" t="e">
        <f>VLOOKUP(E841,Лист4!A$2:G$395,7,FALSE)</f>
        <v>#N/A</v>
      </c>
      <c r="W841" s="247">
        <f>IF(ISNA(V841),VLOOKUP(E841,категория!A$42:C$74,3,),6.94+R841*8.333/VLOOKUP(V841,категория!A$42:C$74,2,))</f>
        <v>2.78</v>
      </c>
    </row>
    <row r="842" spans="1:23" ht="15.75">
      <c r="A842" s="289">
        <v>43861.986111111109</v>
      </c>
      <c r="B842" s="289">
        <v>43862.0625</v>
      </c>
      <c r="C842" s="289">
        <f t="shared" si="40"/>
        <v>7.6388888890505768E-2</v>
      </c>
      <c r="D842" s="290">
        <v>3.472222222222222E-3</v>
      </c>
      <c r="E842" s="329" t="s">
        <v>237</v>
      </c>
      <c r="F842" s="330"/>
      <c r="G842" s="330"/>
      <c r="H842" s="330"/>
      <c r="I842" s="330"/>
      <c r="J842" s="330"/>
      <c r="K842" s="330"/>
      <c r="L842" s="330"/>
      <c r="M842" s="330"/>
      <c r="N842" s="330"/>
      <c r="O842" s="330"/>
      <c r="P842" s="330"/>
      <c r="Q842" s="330"/>
      <c r="R842" s="330"/>
      <c r="S842" s="330"/>
      <c r="T842" s="330"/>
      <c r="U842" s="331"/>
      <c r="V842" s="247" t="e">
        <f>VLOOKUP(E842,Лист4!A$2:G$395,7,FALSE)</f>
        <v>#N/A</v>
      </c>
      <c r="W842" s="247">
        <f>IF(ISNA(V842),VLOOKUP(E842,категория!A$42:C$74,3,),6.94+R842*8.333/VLOOKUP(V842,категория!A$42:C$74,2,))</f>
        <v>5.5553333333333335</v>
      </c>
    </row>
    <row r="843" spans="1:23" ht="48">
      <c r="A843" s="289">
        <v>43862.0625</v>
      </c>
      <c r="B843" s="289">
        <v>43862.086805555555</v>
      </c>
      <c r="C843" s="289">
        <f t="shared" si="40"/>
        <v>2.4305555554747116E-2</v>
      </c>
      <c r="D843" s="290">
        <v>2.4305555555555556E-2</v>
      </c>
      <c r="E843" s="291">
        <v>274</v>
      </c>
      <c r="F843" s="292" t="s">
        <v>249</v>
      </c>
      <c r="G843" s="292" t="s">
        <v>587</v>
      </c>
      <c r="H843" s="293" t="s">
        <v>251</v>
      </c>
      <c r="I843" s="294">
        <v>43864</v>
      </c>
      <c r="J843" s="295"/>
      <c r="K843" s="291" t="s">
        <v>240</v>
      </c>
      <c r="L843" s="296"/>
      <c r="M843" s="297"/>
      <c r="N843" s="292" t="s">
        <v>41</v>
      </c>
      <c r="O843" s="291">
        <v>250</v>
      </c>
      <c r="P843" s="291" t="s">
        <v>228</v>
      </c>
      <c r="Q843" s="298" t="s">
        <v>229</v>
      </c>
      <c r="R843" s="299">
        <v>800</v>
      </c>
      <c r="S843" s="299">
        <v>1086</v>
      </c>
      <c r="T843" s="295"/>
      <c r="U843" s="299" t="s">
        <v>76</v>
      </c>
      <c r="V843" s="247" t="str">
        <f>VLOOKUP(E843,Лист4!A$2:G$395,7,FALSE)</f>
        <v>мел+офсет</v>
      </c>
      <c r="W843" s="247">
        <f>IF(ISNA(V843),VLOOKUP(E843,категория!A$42:C$74,3,),6.94+R843*8.333/VLOOKUP(V843,категория!A$42:C$74,2,))</f>
        <v>8.2732799999999997</v>
      </c>
    </row>
    <row r="844" spans="1:23" ht="15.75">
      <c r="A844" s="289">
        <v>43862.086805555555</v>
      </c>
      <c r="B844" s="289">
        <v>43862.090277777781</v>
      </c>
      <c r="C844" s="289">
        <f t="shared" si="40"/>
        <v>3.4722222262644209E-3</v>
      </c>
      <c r="D844" s="290">
        <v>3.472222222222222E-3</v>
      </c>
      <c r="E844" s="329" t="s">
        <v>170</v>
      </c>
      <c r="F844" s="330"/>
      <c r="G844" s="330"/>
      <c r="H844" s="330"/>
      <c r="I844" s="330"/>
      <c r="J844" s="330"/>
      <c r="K844" s="330"/>
      <c r="L844" s="330"/>
      <c r="M844" s="330"/>
      <c r="N844" s="330"/>
      <c r="O844" s="330"/>
      <c r="P844" s="330"/>
      <c r="Q844" s="330"/>
      <c r="R844" s="330"/>
      <c r="S844" s="330"/>
      <c r="T844" s="330"/>
      <c r="U844" s="331"/>
      <c r="V844" s="247" t="e">
        <f>VLOOKUP(E844,Лист4!A$2:G$395,7,FALSE)</f>
        <v>#N/A</v>
      </c>
      <c r="W844" s="247">
        <f>IF(ISNA(V844),VLOOKUP(E844,категория!A$42:C$74,3,),6.94+R844*8.333/VLOOKUP(V844,категория!A$42:C$74,2,))</f>
        <v>2.085</v>
      </c>
    </row>
    <row r="845" spans="1:23" ht="48">
      <c r="A845" s="289">
        <v>43862.090277777781</v>
      </c>
      <c r="B845" s="289">
        <v>43862.121527777781</v>
      </c>
      <c r="C845" s="289">
        <f t="shared" si="40"/>
        <v>3.125E-2</v>
      </c>
      <c r="D845" s="290">
        <v>3.125E-2</v>
      </c>
      <c r="E845" s="291">
        <v>315</v>
      </c>
      <c r="F845" s="292" t="s">
        <v>275</v>
      </c>
      <c r="G845" s="292" t="s">
        <v>588</v>
      </c>
      <c r="H845" s="293" t="s">
        <v>252</v>
      </c>
      <c r="I845" s="294">
        <v>43865</v>
      </c>
      <c r="J845" s="295"/>
      <c r="K845" s="291" t="s">
        <v>235</v>
      </c>
      <c r="L845" s="296"/>
      <c r="M845" s="297"/>
      <c r="N845" s="292" t="s">
        <v>48</v>
      </c>
      <c r="O845" s="291">
        <v>250</v>
      </c>
      <c r="P845" s="291" t="s">
        <v>236</v>
      </c>
      <c r="Q845" s="298" t="s">
        <v>229</v>
      </c>
      <c r="R845" s="299">
        <v>1282</v>
      </c>
      <c r="S845" s="299">
        <v>1704</v>
      </c>
      <c r="T845" s="295"/>
      <c r="U845" s="299" t="s">
        <v>76</v>
      </c>
      <c r="V845" s="247" t="str">
        <f>VLOOKUP(E845,Лист4!A$2:G$395,7,FALSE)</f>
        <v>мел+офсет</v>
      </c>
      <c r="W845" s="247">
        <f>IF(ISNA(V845),VLOOKUP(E845,категория!A$42:C$74,3,),6.94+R845*8.333/VLOOKUP(V845,категория!A$42:C$74,2,))</f>
        <v>9.0765811999999997</v>
      </c>
    </row>
    <row r="846" spans="1:23" ht="15.75">
      <c r="A846" s="289">
        <v>43862.121527777781</v>
      </c>
      <c r="B846" s="289">
        <v>43862.125</v>
      </c>
      <c r="C846" s="289">
        <f t="shared" si="40"/>
        <v>3.4722222189884633E-3</v>
      </c>
      <c r="D846" s="290">
        <v>1.0416666666666666E-2</v>
      </c>
      <c r="E846" s="329" t="s">
        <v>170</v>
      </c>
      <c r="F846" s="330"/>
      <c r="G846" s="330"/>
      <c r="H846" s="330"/>
      <c r="I846" s="330"/>
      <c r="J846" s="330"/>
      <c r="K846" s="330"/>
      <c r="L846" s="330"/>
      <c r="M846" s="330"/>
      <c r="N846" s="330"/>
      <c r="O846" s="330"/>
      <c r="P846" s="330"/>
      <c r="Q846" s="330"/>
      <c r="R846" s="330"/>
      <c r="S846" s="330"/>
      <c r="T846" s="330"/>
      <c r="U846" s="331"/>
      <c r="V846" s="247" t="e">
        <f>VLOOKUP(E846,Лист4!A$2:G$395,7,FALSE)</f>
        <v>#N/A</v>
      </c>
      <c r="W846" s="247">
        <f>IF(ISNA(V846),VLOOKUP(E846,категория!A$42:C$74,3,),6.94+R846*8.333/VLOOKUP(V846,категория!A$42:C$74,2,))</f>
        <v>2.085</v>
      </c>
    </row>
    <row r="847" spans="1:23" ht="15.75">
      <c r="A847" s="289">
        <v>43862.125</v>
      </c>
      <c r="B847" s="289">
        <v>43862.166666666664</v>
      </c>
      <c r="C847" s="289">
        <f t="shared" si="40"/>
        <v>4.1666666664241347E-2</v>
      </c>
      <c r="D847" s="290">
        <v>3.472222222222222E-3</v>
      </c>
      <c r="E847" s="329" t="s">
        <v>237</v>
      </c>
      <c r="F847" s="330"/>
      <c r="G847" s="330"/>
      <c r="H847" s="330"/>
      <c r="I847" s="330"/>
      <c r="J847" s="330"/>
      <c r="K847" s="330"/>
      <c r="L847" s="330"/>
      <c r="M847" s="330"/>
      <c r="N847" s="330"/>
      <c r="O847" s="330"/>
      <c r="P847" s="330"/>
      <c r="Q847" s="330"/>
      <c r="R847" s="330"/>
      <c r="S847" s="330"/>
      <c r="T847" s="330"/>
      <c r="U847" s="331"/>
      <c r="V847" s="247" t="e">
        <f>VLOOKUP(E847,Лист4!A$2:G$395,7,FALSE)</f>
        <v>#N/A</v>
      </c>
      <c r="W847" s="247">
        <f>IF(ISNA(V847),VLOOKUP(E847,категория!A$42:C$74,3,),6.94+R847*8.333/VLOOKUP(V847,категория!A$42:C$74,2,))</f>
        <v>5.5553333333333335</v>
      </c>
    </row>
    <row r="848" spans="1:23" ht="48">
      <c r="A848" s="289">
        <v>43862.166666666664</v>
      </c>
      <c r="B848" s="289">
        <v>43862.180555555555</v>
      </c>
      <c r="C848" s="289">
        <f t="shared" si="40"/>
        <v>1.3888888890505768E-2</v>
      </c>
      <c r="D848" s="290">
        <v>1.3888888888888888E-2</v>
      </c>
      <c r="E848" s="291">
        <v>315</v>
      </c>
      <c r="F848" s="292" t="s">
        <v>275</v>
      </c>
      <c r="G848" s="292" t="s">
        <v>588</v>
      </c>
      <c r="H848" s="293" t="s">
        <v>251</v>
      </c>
      <c r="I848" s="294">
        <v>43865</v>
      </c>
      <c r="J848" s="295"/>
      <c r="K848" s="291" t="s">
        <v>238</v>
      </c>
      <c r="L848" s="296"/>
      <c r="M848" s="297"/>
      <c r="N848" s="292" t="s">
        <v>48</v>
      </c>
      <c r="O848" s="291">
        <v>250</v>
      </c>
      <c r="P848" s="291" t="s">
        <v>236</v>
      </c>
      <c r="Q848" s="298" t="s">
        <v>229</v>
      </c>
      <c r="R848" s="299">
        <v>1440</v>
      </c>
      <c r="S848" s="299">
        <v>1704</v>
      </c>
      <c r="T848" s="295"/>
      <c r="U848" s="299" t="s">
        <v>76</v>
      </c>
      <c r="V848" s="247" t="str">
        <f>VLOOKUP(E848,Лист4!A$2:G$395,7,FALSE)</f>
        <v>мел+офсет</v>
      </c>
      <c r="W848" s="247">
        <f>IF(ISNA(V848),VLOOKUP(E848,категория!A$42:C$74,3,),6.94+R848*8.333/VLOOKUP(V848,категория!A$42:C$74,2,))</f>
        <v>9.3399040000000007</v>
      </c>
    </row>
    <row r="849" spans="1:23" ht="15.75">
      <c r="A849" s="289">
        <v>43862.180555555555</v>
      </c>
      <c r="B849" s="289">
        <v>43862.184027777781</v>
      </c>
      <c r="C849" s="289">
        <f t="shared" si="40"/>
        <v>3.4722222262644209E-3</v>
      </c>
      <c r="D849" s="290">
        <v>1.0416666666666666E-2</v>
      </c>
      <c r="E849" s="329" t="s">
        <v>170</v>
      </c>
      <c r="F849" s="330"/>
      <c r="G849" s="330"/>
      <c r="H849" s="330"/>
      <c r="I849" s="330"/>
      <c r="J849" s="330"/>
      <c r="K849" s="330"/>
      <c r="L849" s="330"/>
      <c r="M849" s="330"/>
      <c r="N849" s="330"/>
      <c r="O849" s="330"/>
      <c r="P849" s="330"/>
      <c r="Q849" s="330"/>
      <c r="R849" s="330"/>
      <c r="S849" s="330"/>
      <c r="T849" s="330"/>
      <c r="U849" s="331"/>
      <c r="V849" s="247" t="e">
        <f>VLOOKUP(E849,Лист4!A$2:G$395,7,FALSE)</f>
        <v>#N/A</v>
      </c>
      <c r="W849" s="247">
        <f>IF(ISNA(V849),VLOOKUP(E849,категория!A$42:C$74,3,),6.94+R849*8.333/VLOOKUP(V849,категория!A$42:C$74,2,))</f>
        <v>2.085</v>
      </c>
    </row>
    <row r="850" spans="1:23" ht="15.75">
      <c r="A850" s="289">
        <v>43862.184027777781</v>
      </c>
      <c r="B850" s="289">
        <v>43862.201388888891</v>
      </c>
      <c r="C850" s="289">
        <f t="shared" si="40"/>
        <v>1.7361111109494232E-2</v>
      </c>
      <c r="D850" s="290">
        <v>1.7361111111111112E-2</v>
      </c>
      <c r="E850" s="329" t="s">
        <v>3</v>
      </c>
      <c r="F850" s="330"/>
      <c r="G850" s="330"/>
      <c r="H850" s="330"/>
      <c r="I850" s="330"/>
      <c r="J850" s="330"/>
      <c r="K850" s="330"/>
      <c r="L850" s="330"/>
      <c r="M850" s="330"/>
      <c r="N850" s="330"/>
      <c r="O850" s="330"/>
      <c r="P850" s="330"/>
      <c r="Q850" s="330"/>
      <c r="R850" s="330"/>
      <c r="S850" s="330"/>
      <c r="T850" s="330"/>
      <c r="U850" s="331"/>
      <c r="V850" s="247" t="e">
        <f>VLOOKUP(E850,Лист4!A$2:G$395,7,FALSE)</f>
        <v>#N/A</v>
      </c>
      <c r="W850" s="247">
        <f>IF(ISNA(V850),VLOOKUP(E850,категория!A$42:C$74,3,),6.94+R850*8.333/VLOOKUP(V850,категория!A$42:C$74,2,))</f>
        <v>4.17</v>
      </c>
    </row>
    <row r="851" spans="1:23" ht="15.75">
      <c r="A851" s="289">
        <v>43862.201388888891</v>
      </c>
      <c r="B851" s="289">
        <v>43862.215277777781</v>
      </c>
      <c r="C851" s="289">
        <f t="shared" si="40"/>
        <v>1.3888888890505768E-2</v>
      </c>
      <c r="D851" s="290">
        <v>2.0833333333333332E-2</v>
      </c>
      <c r="E851" s="329" t="s">
        <v>8</v>
      </c>
      <c r="F851" s="330"/>
      <c r="G851" s="330"/>
      <c r="H851" s="330"/>
      <c r="I851" s="330"/>
      <c r="J851" s="330"/>
      <c r="K851" s="330"/>
      <c r="L851" s="330"/>
      <c r="M851" s="330"/>
      <c r="N851" s="330"/>
      <c r="O851" s="330"/>
      <c r="P851" s="330"/>
      <c r="Q851" s="330"/>
      <c r="R851" s="330"/>
      <c r="S851" s="330"/>
      <c r="T851" s="330"/>
      <c r="U851" s="331"/>
      <c r="V851" s="247" t="e">
        <f>VLOOKUP(E851,Лист4!A$2:G$395,7,FALSE)</f>
        <v>#N/A</v>
      </c>
      <c r="W851" s="247">
        <f>IF(ISNA(V851),VLOOKUP(E851,категория!A$42:C$74,3,),6.94+R851*8.333/VLOOKUP(V851,категория!A$42:C$74,2,))</f>
        <v>4.17</v>
      </c>
    </row>
    <row r="852" spans="1:23" ht="48">
      <c r="A852" s="289">
        <v>43862.215277777781</v>
      </c>
      <c r="B852" s="289">
        <v>43862.232638888891</v>
      </c>
      <c r="C852" s="289">
        <f t="shared" si="40"/>
        <v>1.7361111109494232E-2</v>
      </c>
      <c r="D852" s="290">
        <v>1.7361111111111112E-2</v>
      </c>
      <c r="E852" s="291">
        <v>315</v>
      </c>
      <c r="F852" s="292" t="s">
        <v>275</v>
      </c>
      <c r="G852" s="292" t="s">
        <v>588</v>
      </c>
      <c r="H852" s="293" t="s">
        <v>589</v>
      </c>
      <c r="I852" s="294">
        <v>43865</v>
      </c>
      <c r="J852" s="295"/>
      <c r="K852" s="291" t="s">
        <v>322</v>
      </c>
      <c r="L852" s="296" t="s">
        <v>232</v>
      </c>
      <c r="M852" s="297"/>
      <c r="N852" s="292" t="s">
        <v>48</v>
      </c>
      <c r="O852" s="291">
        <v>250</v>
      </c>
      <c r="P852" s="291" t="s">
        <v>236</v>
      </c>
      <c r="Q852" s="298" t="s">
        <v>241</v>
      </c>
      <c r="R852" s="299">
        <v>1250</v>
      </c>
      <c r="S852" s="299">
        <v>1322</v>
      </c>
      <c r="T852" s="295"/>
      <c r="U852" s="299" t="s">
        <v>76</v>
      </c>
      <c r="V852" s="247" t="str">
        <f>VLOOKUP(E852,Лист4!A$2:G$395,7,FALSE)</f>
        <v>мел+офсет</v>
      </c>
      <c r="W852" s="247">
        <f>IF(ISNA(V852),VLOOKUP(E852,категория!A$42:C$74,3,),6.94/4+R852*8.333/VLOOKUP(V852,категория!A$42:C$74,2,))</f>
        <v>3.8182499999999999</v>
      </c>
    </row>
    <row r="853" spans="1:23" ht="15.75">
      <c r="A853" s="289">
        <v>43862.232638888891</v>
      </c>
      <c r="B853" s="289">
        <v>43862.236111111109</v>
      </c>
      <c r="C853" s="289">
        <f t="shared" si="40"/>
        <v>3.4722222189884633E-3</v>
      </c>
      <c r="D853" s="290">
        <v>1.0416666666666666E-2</v>
      </c>
      <c r="E853" s="329" t="s">
        <v>170</v>
      </c>
      <c r="F853" s="330"/>
      <c r="G853" s="330"/>
      <c r="H853" s="330"/>
      <c r="I853" s="330"/>
      <c r="J853" s="330"/>
      <c r="K853" s="330"/>
      <c r="L853" s="330"/>
      <c r="M853" s="330"/>
      <c r="N853" s="330"/>
      <c r="O853" s="330"/>
      <c r="P853" s="330"/>
      <c r="Q853" s="330"/>
      <c r="R853" s="330"/>
      <c r="S853" s="330"/>
      <c r="T853" s="330"/>
      <c r="U853" s="331"/>
      <c r="V853" s="247" t="e">
        <f>VLOOKUP(E853,Лист4!A$2:G$395,7,FALSE)</f>
        <v>#N/A</v>
      </c>
      <c r="W853" s="247">
        <f>IF(ISNA(V853),VLOOKUP(E853,категория!A$42:C$74,3,),6.94+R853*8.333/VLOOKUP(V853,категория!A$42:C$74,2,))</f>
        <v>2.085</v>
      </c>
    </row>
    <row r="854" spans="1:23" ht="15.75">
      <c r="A854" s="289">
        <v>43862.236111111109</v>
      </c>
      <c r="B854" s="289">
        <v>43862.260416666664</v>
      </c>
      <c r="C854" s="289">
        <f t="shared" si="40"/>
        <v>2.4305555554747116E-2</v>
      </c>
      <c r="D854" s="290">
        <v>3.472222222222222E-3</v>
      </c>
      <c r="E854" s="329" t="s">
        <v>237</v>
      </c>
      <c r="F854" s="330"/>
      <c r="G854" s="330"/>
      <c r="H854" s="330"/>
      <c r="I854" s="330"/>
      <c r="J854" s="330"/>
      <c r="K854" s="330"/>
      <c r="L854" s="330"/>
      <c r="M854" s="330"/>
      <c r="N854" s="330"/>
      <c r="O854" s="330"/>
      <c r="P854" s="330"/>
      <c r="Q854" s="330"/>
      <c r="R854" s="330"/>
      <c r="S854" s="330"/>
      <c r="T854" s="330"/>
      <c r="U854" s="331"/>
      <c r="V854" s="247" t="e">
        <f>VLOOKUP(E854,Лист4!A$2:G$395,7,FALSE)</f>
        <v>#N/A</v>
      </c>
      <c r="W854" s="247">
        <f>IF(ISNA(V854),VLOOKUP(E854,категория!A$42:C$74,3,),6.94+R854*8.333/VLOOKUP(V854,категория!A$42:C$74,2,))</f>
        <v>5.5553333333333335</v>
      </c>
    </row>
    <row r="855" spans="1:23" ht="48">
      <c r="A855" s="289">
        <v>43862.260416666664</v>
      </c>
      <c r="B855" s="289">
        <v>43862.277777777781</v>
      </c>
      <c r="C855" s="289">
        <f t="shared" si="40"/>
        <v>1.7361111116770189E-2</v>
      </c>
      <c r="D855" s="290">
        <v>1.7361111111111112E-2</v>
      </c>
      <c r="E855" s="291">
        <v>315</v>
      </c>
      <c r="F855" s="292" t="s">
        <v>275</v>
      </c>
      <c r="G855" s="292" t="s">
        <v>588</v>
      </c>
      <c r="H855" s="293" t="s">
        <v>590</v>
      </c>
      <c r="I855" s="294">
        <v>43865</v>
      </c>
      <c r="J855" s="295"/>
      <c r="K855" s="291" t="s">
        <v>323</v>
      </c>
      <c r="L855" s="296" t="s">
        <v>232</v>
      </c>
      <c r="M855" s="297"/>
      <c r="N855" s="292" t="s">
        <v>48</v>
      </c>
      <c r="O855" s="291">
        <v>250</v>
      </c>
      <c r="P855" s="291" t="s">
        <v>236</v>
      </c>
      <c r="Q855" s="298" t="s">
        <v>241</v>
      </c>
      <c r="R855" s="299">
        <v>1420</v>
      </c>
      <c r="S855" s="299">
        <v>1322</v>
      </c>
      <c r="T855" s="295"/>
      <c r="U855" s="299" t="s">
        <v>76</v>
      </c>
      <c r="V855" s="247" t="str">
        <f>VLOOKUP(E855,Лист4!A$2:G$395,7,FALSE)</f>
        <v>мел+офсет</v>
      </c>
      <c r="W855" s="247">
        <f>IF(ISNA(V855),VLOOKUP(E855,категория!A$42:C$74,3,),R855*8.333/VLOOKUP(V855,категория!A$42:C$74,2,))</f>
        <v>2.3665720000000001</v>
      </c>
    </row>
    <row r="856" spans="1:23" ht="15.75">
      <c r="A856" s="289">
        <v>43862.277777777781</v>
      </c>
      <c r="B856" s="289">
        <v>43862.28125</v>
      </c>
      <c r="C856" s="289">
        <f t="shared" si="40"/>
        <v>3.4722222189884633E-3</v>
      </c>
      <c r="D856" s="290">
        <v>1.0416666666666666E-2</v>
      </c>
      <c r="E856" s="329" t="s">
        <v>170</v>
      </c>
      <c r="F856" s="330"/>
      <c r="G856" s="330"/>
      <c r="H856" s="330"/>
      <c r="I856" s="330"/>
      <c r="J856" s="330"/>
      <c r="K856" s="330"/>
      <c r="L856" s="330"/>
      <c r="M856" s="330"/>
      <c r="N856" s="330"/>
      <c r="O856" s="330"/>
      <c r="P856" s="330"/>
      <c r="Q856" s="330"/>
      <c r="R856" s="330"/>
      <c r="S856" s="330"/>
      <c r="T856" s="330"/>
      <c r="U856" s="331"/>
      <c r="V856" s="247" t="e">
        <f>VLOOKUP(E856,Лист4!A$2:G$395,7,FALSE)</f>
        <v>#N/A</v>
      </c>
      <c r="W856" s="247">
        <f>IF(ISNA(V856),VLOOKUP(E856,категория!A$42:C$74,3,),6.94+R856*8.333/VLOOKUP(V856,категория!A$42:C$74,2,))</f>
        <v>2.085</v>
      </c>
    </row>
    <row r="857" spans="1:23" ht="15.75">
      <c r="A857" s="289">
        <v>43862.28125</v>
      </c>
      <c r="B857" s="289">
        <v>43862.305555555555</v>
      </c>
      <c r="C857" s="289">
        <f t="shared" si="40"/>
        <v>2.4305555554747116E-2</v>
      </c>
      <c r="D857" s="290">
        <v>4.1666666666666664E-2</v>
      </c>
      <c r="E857" s="329" t="s">
        <v>584</v>
      </c>
      <c r="F857" s="330"/>
      <c r="G857" s="330"/>
      <c r="H857" s="330"/>
      <c r="I857" s="330"/>
      <c r="J857" s="330"/>
      <c r="K857" s="330"/>
      <c r="L857" s="330"/>
      <c r="M857" s="330"/>
      <c r="N857" s="330"/>
      <c r="O857" s="330"/>
      <c r="P857" s="330"/>
      <c r="Q857" s="330"/>
      <c r="R857" s="330"/>
      <c r="S857" s="330"/>
      <c r="T857" s="330"/>
      <c r="U857" s="331"/>
      <c r="V857" s="247" t="e">
        <f>VLOOKUP(E857,Лист4!A$2:G$395,7,FALSE)</f>
        <v>#N/A</v>
      </c>
      <c r="W857" s="247">
        <f>8.333*0.5</f>
        <v>4.1665000000000001</v>
      </c>
    </row>
    <row r="858" spans="1:23" ht="60">
      <c r="A858" s="336">
        <v>43862.305555555555</v>
      </c>
      <c r="B858" s="336">
        <v>43862.322916666664</v>
      </c>
      <c r="C858" s="289">
        <f t="shared" si="40"/>
        <v>1.7361111109494232E-2</v>
      </c>
      <c r="D858" s="338">
        <v>1.7361111111111112E-2</v>
      </c>
      <c r="E858" s="340">
        <v>262</v>
      </c>
      <c r="F858" s="292" t="s">
        <v>581</v>
      </c>
      <c r="G858" s="292" t="s">
        <v>585</v>
      </c>
      <c r="H858" s="293" t="s">
        <v>273</v>
      </c>
      <c r="I858" s="294">
        <v>43866</v>
      </c>
      <c r="J858" s="295"/>
      <c r="K858" s="291" t="s">
        <v>256</v>
      </c>
      <c r="L858" s="296"/>
      <c r="M858" s="297"/>
      <c r="N858" s="292" t="s">
        <v>40</v>
      </c>
      <c r="O858" s="291">
        <v>0</v>
      </c>
      <c r="P858" s="291" t="s">
        <v>272</v>
      </c>
      <c r="Q858" s="298" t="s">
        <v>241</v>
      </c>
      <c r="R858" s="299">
        <v>1690</v>
      </c>
      <c r="S858" s="299">
        <v>1537</v>
      </c>
      <c r="T858" s="295" t="s">
        <v>232</v>
      </c>
      <c r="U858" s="299" t="s">
        <v>76</v>
      </c>
      <c r="V858" s="247" t="str">
        <f>VLOOKUP(E858,Лист4!A$2:G$395,7,FALSE)</f>
        <v>картон от 270</v>
      </c>
      <c r="W858" s="247">
        <f>IF(ISNA(V858),VLOOKUP(E858,категория!A$42:C$74,3,),6.94+R858*8.333/VLOOKUP(V858,категория!A$42:C$74,2,))</f>
        <v>11.796127586206897</v>
      </c>
    </row>
    <row r="859" spans="1:23">
      <c r="A859" s="337"/>
      <c r="B859" s="337"/>
      <c r="C859" s="289">
        <f t="shared" si="40"/>
        <v>0</v>
      </c>
      <c r="D859" s="339"/>
      <c r="E859" s="341"/>
      <c r="F859" s="342" t="s">
        <v>586</v>
      </c>
      <c r="G859" s="343"/>
      <c r="H859" s="343"/>
      <c r="I859" s="343"/>
      <c r="J859" s="343"/>
      <c r="K859" s="343"/>
      <c r="L859" s="343"/>
      <c r="M859" s="343"/>
      <c r="N859" s="343"/>
      <c r="O859" s="343"/>
      <c r="P859" s="343"/>
      <c r="Q859" s="343"/>
      <c r="R859" s="343"/>
      <c r="S859" s="343"/>
      <c r="T859" s="343"/>
      <c r="U859" s="344"/>
      <c r="V859" s="247" t="e">
        <f>VLOOKUP(E859,Лист4!A$2:G$395,7,FALSE)</f>
        <v>#N/A</v>
      </c>
      <c r="W859" s="247">
        <v>0</v>
      </c>
    </row>
    <row r="860" spans="1:23" ht="15.75">
      <c r="A860" s="289">
        <v>43862.322916666664</v>
      </c>
      <c r="B860" s="289">
        <v>43862.326388888891</v>
      </c>
      <c r="C860" s="289">
        <f t="shared" si="40"/>
        <v>3.4722222262644209E-3</v>
      </c>
      <c r="D860" s="290">
        <v>1.0416666666666666E-2</v>
      </c>
      <c r="E860" s="329" t="s">
        <v>170</v>
      </c>
      <c r="F860" s="330"/>
      <c r="G860" s="330"/>
      <c r="H860" s="330"/>
      <c r="I860" s="330"/>
      <c r="J860" s="330"/>
      <c r="K860" s="330"/>
      <c r="L860" s="330"/>
      <c r="M860" s="330"/>
      <c r="N860" s="330"/>
      <c r="O860" s="330"/>
      <c r="P860" s="330"/>
      <c r="Q860" s="330"/>
      <c r="R860" s="330"/>
      <c r="S860" s="330"/>
      <c r="T860" s="330"/>
      <c r="U860" s="331"/>
      <c r="V860" s="247" t="e">
        <f>VLOOKUP(E860,Лист4!A$2:G$395,7,FALSE)</f>
        <v>#N/A</v>
      </c>
      <c r="W860" s="247">
        <f>IF(ISNA(V860),VLOOKUP(E860,категория!A$42:C$74,3,),6.94+R860*8.333/VLOOKUP(V860,категория!A$42:C$74,2,))</f>
        <v>2.085</v>
      </c>
    </row>
    <row r="861" spans="1:23" ht="15.75">
      <c r="A861" s="289">
        <v>43862.326388888891</v>
      </c>
      <c r="B861" s="289">
        <v>43862.333333333336</v>
      </c>
      <c r="C861" s="289">
        <f t="shared" si="40"/>
        <v>6.9444444452528842E-3</v>
      </c>
      <c r="D861" s="290">
        <v>2.0833333333333332E-2</v>
      </c>
      <c r="E861" s="329" t="s">
        <v>22</v>
      </c>
      <c r="F861" s="330"/>
      <c r="G861" s="330"/>
      <c r="H861" s="330"/>
      <c r="I861" s="330"/>
      <c r="J861" s="330"/>
      <c r="K861" s="330"/>
      <c r="L861" s="330"/>
      <c r="M861" s="330"/>
      <c r="N861" s="330"/>
      <c r="O861" s="330"/>
      <c r="P861" s="330"/>
      <c r="Q861" s="330"/>
      <c r="R861" s="330"/>
      <c r="S861" s="330"/>
      <c r="T861" s="330"/>
      <c r="U861" s="331"/>
      <c r="V861" s="247" t="e">
        <f>VLOOKUP(E861,Лист4!A$2:G$395,7,FALSE)</f>
        <v>#N/A</v>
      </c>
      <c r="W861" s="247">
        <f>IF(ISNA(V861),VLOOKUP(E861,категория!A$42:C$74,3,),6.94+R861*8.333/VLOOKUP(V861,категория!A$42:C$74,2,))</f>
        <v>4.17</v>
      </c>
    </row>
    <row r="862" spans="1:23" ht="15.75">
      <c r="A862" s="191"/>
      <c r="B862" s="191"/>
      <c r="C862" s="191"/>
      <c r="D862" s="192"/>
      <c r="E862" s="329"/>
      <c r="F862" s="330"/>
      <c r="G862" s="330"/>
      <c r="H862" s="330"/>
      <c r="I862" s="330"/>
      <c r="J862" s="330"/>
      <c r="K862" s="330"/>
      <c r="L862" s="330"/>
      <c r="M862" s="330"/>
      <c r="N862" s="330"/>
      <c r="O862" s="330"/>
      <c r="P862" s="330"/>
      <c r="Q862" s="330"/>
      <c r="R862" s="330"/>
      <c r="S862" s="330"/>
      <c r="T862" s="330"/>
      <c r="U862" s="331"/>
      <c r="V862" s="186"/>
      <c r="W862" s="52">
        <f>SUM(W833:W861)</f>
        <v>136.44986198578891</v>
      </c>
    </row>
    <row r="863" spans="1:23" ht="15.75">
      <c r="A863" s="191"/>
      <c r="B863" s="191"/>
      <c r="C863" s="191"/>
      <c r="D863" s="192"/>
      <c r="E863" s="329"/>
      <c r="F863" s="330"/>
      <c r="G863" s="330"/>
      <c r="H863" s="330"/>
      <c r="I863" s="330"/>
      <c r="J863" s="330"/>
      <c r="K863" s="330"/>
      <c r="L863" s="330"/>
      <c r="M863" s="330"/>
      <c r="N863" s="330"/>
      <c r="O863" s="330"/>
      <c r="P863" s="330"/>
      <c r="Q863" s="330"/>
      <c r="R863" s="330"/>
      <c r="S863" s="330"/>
      <c r="T863" s="330"/>
      <c r="U863" s="331"/>
      <c r="V863" s="186"/>
      <c r="W863" s="186"/>
    </row>
    <row r="864" spans="1:23">
      <c r="A864" s="191"/>
      <c r="B864" s="191"/>
      <c r="C864" s="191"/>
      <c r="D864" s="192"/>
      <c r="E864" s="193"/>
      <c r="F864" s="194"/>
      <c r="G864" s="194"/>
      <c r="H864" s="195"/>
      <c r="I864" s="196"/>
      <c r="J864" s="197"/>
      <c r="K864" s="193"/>
      <c r="L864" s="198"/>
      <c r="M864" s="199"/>
      <c r="N864" s="194"/>
      <c r="O864" s="193"/>
      <c r="P864" s="193"/>
      <c r="Q864" s="200"/>
      <c r="R864" s="201"/>
      <c r="S864" s="201"/>
      <c r="T864" s="197"/>
      <c r="U864" s="201"/>
      <c r="V864" s="186"/>
      <c r="W864" s="186"/>
    </row>
    <row r="865" spans="1:23" ht="15.75">
      <c r="A865" s="191"/>
      <c r="B865" s="191"/>
      <c r="C865" s="191"/>
      <c r="D865" s="192"/>
      <c r="E865" s="329"/>
      <c r="F865" s="330"/>
      <c r="G865" s="330"/>
      <c r="H865" s="330"/>
      <c r="I865" s="330"/>
      <c r="J865" s="330"/>
      <c r="K865" s="330"/>
      <c r="L865" s="330"/>
      <c r="M865" s="330"/>
      <c r="N865" s="330"/>
      <c r="O865" s="330"/>
      <c r="P865" s="330"/>
      <c r="Q865" s="330"/>
      <c r="R865" s="330"/>
      <c r="S865" s="330"/>
      <c r="T865" s="330"/>
      <c r="U865" s="331"/>
      <c r="V865" s="186"/>
      <c r="W865" s="186"/>
    </row>
    <row r="866" spans="1:23">
      <c r="A866" s="191"/>
      <c r="B866" s="191"/>
      <c r="C866" s="191"/>
      <c r="D866" s="192"/>
      <c r="E866" s="193"/>
      <c r="F866" s="194"/>
      <c r="G866" s="194"/>
      <c r="H866" s="195"/>
      <c r="I866" s="196"/>
      <c r="J866" s="197"/>
      <c r="K866" s="193"/>
      <c r="L866" s="198"/>
      <c r="M866" s="199"/>
      <c r="N866" s="194"/>
      <c r="O866" s="193"/>
      <c r="P866" s="193"/>
      <c r="Q866" s="200"/>
      <c r="R866" s="201"/>
      <c r="S866" s="201"/>
      <c r="T866" s="197"/>
      <c r="U866" s="201"/>
      <c r="V866" s="186"/>
      <c r="W866" s="186"/>
    </row>
    <row r="867" spans="1:23" ht="15.75">
      <c r="A867" s="191"/>
      <c r="B867" s="191"/>
      <c r="C867" s="191"/>
      <c r="D867" s="192"/>
      <c r="E867" s="329"/>
      <c r="F867" s="330"/>
      <c r="G867" s="330"/>
      <c r="H867" s="330"/>
      <c r="I867" s="330"/>
      <c r="J867" s="330"/>
      <c r="K867" s="330"/>
      <c r="L867" s="330"/>
      <c r="M867" s="330"/>
      <c r="N867" s="330"/>
      <c r="O867" s="330"/>
      <c r="P867" s="330"/>
      <c r="Q867" s="330"/>
      <c r="R867" s="330"/>
      <c r="S867" s="330"/>
      <c r="T867" s="330"/>
      <c r="U867" s="331"/>
      <c r="V867" s="186"/>
      <c r="W867" s="186"/>
    </row>
    <row r="868" spans="1:23" ht="15.75">
      <c r="A868" s="191"/>
      <c r="B868" s="191"/>
      <c r="C868" s="191"/>
      <c r="D868" s="192"/>
      <c r="E868" s="329"/>
      <c r="F868" s="330"/>
      <c r="G868" s="330"/>
      <c r="H868" s="330"/>
      <c r="I868" s="330"/>
      <c r="J868" s="330"/>
      <c r="K868" s="330"/>
      <c r="L868" s="330"/>
      <c r="M868" s="330"/>
      <c r="N868" s="330"/>
      <c r="O868" s="330"/>
      <c r="P868" s="330"/>
      <c r="Q868" s="330"/>
      <c r="R868" s="330"/>
      <c r="S868" s="330"/>
      <c r="T868" s="330"/>
      <c r="U868" s="331"/>
      <c r="V868" s="186"/>
      <c r="W868" s="186"/>
    </row>
    <row r="869" spans="1:23">
      <c r="A869" s="336"/>
      <c r="B869" s="336"/>
      <c r="C869" s="191"/>
      <c r="D869" s="338"/>
      <c r="E869" s="340"/>
      <c r="F869" s="194"/>
      <c r="G869" s="194"/>
      <c r="H869" s="195"/>
      <c r="I869" s="196"/>
      <c r="J869" s="197"/>
      <c r="K869" s="193"/>
      <c r="L869" s="198"/>
      <c r="M869" s="199"/>
      <c r="N869" s="194"/>
      <c r="O869" s="193"/>
      <c r="P869" s="193"/>
      <c r="Q869" s="200"/>
      <c r="R869" s="201"/>
      <c r="S869" s="201"/>
      <c r="T869" s="197"/>
      <c r="U869" s="201"/>
      <c r="V869" s="186"/>
      <c r="W869" s="186"/>
    </row>
    <row r="870" spans="1:23">
      <c r="A870" s="337"/>
      <c r="B870" s="337"/>
      <c r="C870" s="191"/>
      <c r="D870" s="339"/>
      <c r="E870" s="341"/>
      <c r="F870" s="342"/>
      <c r="G870" s="343"/>
      <c r="H870" s="343"/>
      <c r="I870" s="343"/>
      <c r="J870" s="343"/>
      <c r="K870" s="343"/>
      <c r="L870" s="343"/>
      <c r="M870" s="343"/>
      <c r="N870" s="343"/>
      <c r="O870" s="343"/>
      <c r="P870" s="343"/>
      <c r="Q870" s="343"/>
      <c r="R870" s="343"/>
      <c r="S870" s="343"/>
      <c r="T870" s="343"/>
      <c r="U870" s="344"/>
      <c r="V870" s="186"/>
      <c r="W870" s="186"/>
    </row>
    <row r="871" spans="1:23" ht="15.75">
      <c r="A871" s="191"/>
      <c r="B871" s="191"/>
      <c r="C871" s="191"/>
      <c r="D871" s="192"/>
      <c r="E871" s="329"/>
      <c r="F871" s="330"/>
      <c r="G871" s="330"/>
      <c r="H871" s="330"/>
      <c r="I871" s="330"/>
      <c r="J871" s="330"/>
      <c r="K871" s="330"/>
      <c r="L871" s="330"/>
      <c r="M871" s="330"/>
      <c r="N871" s="330"/>
      <c r="O871" s="330"/>
      <c r="P871" s="330"/>
      <c r="Q871" s="330"/>
      <c r="R871" s="330"/>
      <c r="S871" s="330"/>
      <c r="T871" s="330"/>
      <c r="U871" s="331"/>
      <c r="V871" s="186"/>
      <c r="W871" s="186"/>
    </row>
    <row r="872" spans="1:23" ht="15.75">
      <c r="A872" s="191"/>
      <c r="B872" s="191"/>
      <c r="C872" s="191"/>
      <c r="D872" s="192"/>
      <c r="E872" s="329"/>
      <c r="F872" s="330"/>
      <c r="G872" s="330"/>
      <c r="H872" s="330"/>
      <c r="I872" s="330"/>
      <c r="J872" s="330"/>
      <c r="K872" s="330"/>
      <c r="L872" s="330"/>
      <c r="M872" s="330"/>
      <c r="N872" s="330"/>
      <c r="O872" s="330"/>
      <c r="P872" s="330"/>
      <c r="Q872" s="330"/>
      <c r="R872" s="330"/>
      <c r="S872" s="330"/>
      <c r="T872" s="330"/>
      <c r="U872" s="331"/>
      <c r="V872" s="186"/>
      <c r="W872" s="186"/>
    </row>
    <row r="873" spans="1:23" ht="15.75">
      <c r="A873" s="202"/>
      <c r="B873" s="332"/>
      <c r="C873" s="333"/>
      <c r="D873" s="334"/>
      <c r="E873" s="334"/>
      <c r="F873" s="334"/>
      <c r="G873" s="334"/>
      <c r="H873" s="334"/>
      <c r="I873" s="334"/>
      <c r="J873" s="334"/>
      <c r="K873" s="334"/>
      <c r="L873" s="334"/>
      <c r="M873" s="334"/>
      <c r="N873" s="334"/>
      <c r="O873" s="334"/>
      <c r="P873" s="334"/>
      <c r="Q873" s="334"/>
      <c r="R873" s="334"/>
      <c r="S873" s="334"/>
      <c r="T873" s="334"/>
      <c r="U873" s="335"/>
      <c r="V873" s="186"/>
      <c r="W873" s="52"/>
    </row>
    <row r="874" spans="1:23" ht="15.75">
      <c r="A874" s="191"/>
      <c r="B874" s="191"/>
      <c r="C874" s="191"/>
      <c r="D874" s="192"/>
      <c r="E874" s="329"/>
      <c r="F874" s="330"/>
      <c r="G874" s="330"/>
      <c r="H874" s="330"/>
      <c r="I874" s="330"/>
      <c r="J874" s="330"/>
      <c r="K874" s="330"/>
      <c r="L874" s="330"/>
      <c r="M874" s="330"/>
      <c r="N874" s="330"/>
      <c r="O874" s="330"/>
      <c r="P874" s="330"/>
      <c r="Q874" s="330"/>
      <c r="R874" s="330"/>
      <c r="S874" s="330"/>
      <c r="T874" s="330"/>
      <c r="U874" s="331"/>
      <c r="V874" s="186"/>
      <c r="W874" s="186"/>
    </row>
    <row r="875" spans="1:23" ht="15.75">
      <c r="A875" s="191"/>
      <c r="B875" s="191"/>
      <c r="C875" s="191"/>
      <c r="D875" s="192"/>
      <c r="E875" s="329"/>
      <c r="F875" s="330"/>
      <c r="G875" s="330"/>
      <c r="H875" s="330"/>
      <c r="I875" s="330"/>
      <c r="J875" s="330"/>
      <c r="K875" s="330"/>
      <c r="L875" s="330"/>
      <c r="M875" s="330"/>
      <c r="N875" s="330"/>
      <c r="O875" s="330"/>
      <c r="P875" s="330"/>
      <c r="Q875" s="330"/>
      <c r="R875" s="330"/>
      <c r="S875" s="330"/>
      <c r="T875" s="330"/>
      <c r="U875" s="331"/>
      <c r="V875" s="186"/>
      <c r="W875" s="186"/>
    </row>
    <row r="876" spans="1:23" ht="15.75">
      <c r="A876" s="191"/>
      <c r="B876" s="191"/>
      <c r="C876" s="191"/>
      <c r="D876" s="192"/>
      <c r="E876" s="329"/>
      <c r="F876" s="330"/>
      <c r="G876" s="330"/>
      <c r="H876" s="330"/>
      <c r="I876" s="330"/>
      <c r="J876" s="330"/>
      <c r="K876" s="330"/>
      <c r="L876" s="330"/>
      <c r="M876" s="330"/>
      <c r="N876" s="330"/>
      <c r="O876" s="330"/>
      <c r="P876" s="330"/>
      <c r="Q876" s="330"/>
      <c r="R876" s="330"/>
      <c r="S876" s="330"/>
      <c r="T876" s="330"/>
      <c r="U876" s="331"/>
      <c r="V876" s="186"/>
      <c r="W876" s="186"/>
    </row>
    <row r="877" spans="1:23">
      <c r="A877" s="191"/>
      <c r="B877" s="191"/>
      <c r="C877" s="191"/>
      <c r="D877" s="192"/>
      <c r="E877" s="193"/>
      <c r="F877" s="194"/>
      <c r="G877" s="194"/>
      <c r="H877" s="195"/>
      <c r="I877" s="196"/>
      <c r="J877" s="197"/>
      <c r="K877" s="193"/>
      <c r="L877" s="198"/>
      <c r="M877" s="199"/>
      <c r="N877" s="194"/>
      <c r="O877" s="193"/>
      <c r="P877" s="193"/>
      <c r="Q877" s="200"/>
      <c r="R877" s="201"/>
      <c r="S877" s="201"/>
      <c r="T877" s="197"/>
      <c r="U877" s="201"/>
      <c r="V877" s="186"/>
      <c r="W877" s="186"/>
    </row>
    <row r="878" spans="1:23" ht="15.75">
      <c r="A878" s="191"/>
      <c r="B878" s="191"/>
      <c r="C878" s="191"/>
      <c r="D878" s="192"/>
      <c r="E878" s="329"/>
      <c r="F878" s="330"/>
      <c r="G878" s="330"/>
      <c r="H878" s="330"/>
      <c r="I878" s="330"/>
      <c r="J878" s="330"/>
      <c r="K878" s="330"/>
      <c r="L878" s="330"/>
      <c r="M878" s="330"/>
      <c r="N878" s="330"/>
      <c r="O878" s="330"/>
      <c r="P878" s="330"/>
      <c r="Q878" s="330"/>
      <c r="R878" s="330"/>
      <c r="S878" s="330"/>
      <c r="T878" s="330"/>
      <c r="U878" s="331"/>
      <c r="V878" s="186"/>
      <c r="W878" s="186"/>
    </row>
    <row r="879" spans="1:23" ht="15.75">
      <c r="A879" s="191"/>
      <c r="B879" s="191"/>
      <c r="C879" s="191"/>
      <c r="D879" s="192"/>
      <c r="E879" s="329"/>
      <c r="F879" s="330"/>
      <c r="G879" s="330"/>
      <c r="H879" s="330"/>
      <c r="I879" s="330"/>
      <c r="J879" s="330"/>
      <c r="K879" s="330"/>
      <c r="L879" s="330"/>
      <c r="M879" s="330"/>
      <c r="N879" s="330"/>
      <c r="O879" s="330"/>
      <c r="P879" s="330"/>
      <c r="Q879" s="330"/>
      <c r="R879" s="330"/>
      <c r="S879" s="330"/>
      <c r="T879" s="330"/>
      <c r="U879" s="331"/>
      <c r="V879" s="186"/>
      <c r="W879" s="186"/>
    </row>
    <row r="880" spans="1:23">
      <c r="A880" s="191"/>
      <c r="B880" s="191"/>
      <c r="C880" s="191"/>
      <c r="D880" s="192"/>
      <c r="E880" s="193"/>
      <c r="F880" s="194"/>
      <c r="G880" s="194"/>
      <c r="H880" s="195"/>
      <c r="I880" s="196"/>
      <c r="J880" s="197"/>
      <c r="K880" s="193"/>
      <c r="L880" s="198"/>
      <c r="M880" s="199"/>
      <c r="N880" s="194"/>
      <c r="O880" s="193"/>
      <c r="P880" s="193"/>
      <c r="Q880" s="200"/>
      <c r="R880" s="201"/>
      <c r="S880" s="201"/>
      <c r="T880" s="197"/>
      <c r="U880" s="201"/>
      <c r="V880" s="186"/>
      <c r="W880" s="186"/>
    </row>
    <row r="881" spans="1:23" ht="15.75">
      <c r="A881" s="191"/>
      <c r="B881" s="191"/>
      <c r="C881" s="191"/>
      <c r="D881" s="192"/>
      <c r="E881" s="329"/>
      <c r="F881" s="330"/>
      <c r="G881" s="330"/>
      <c r="H881" s="330"/>
      <c r="I881" s="330"/>
      <c r="J881" s="330"/>
      <c r="K881" s="330"/>
      <c r="L881" s="330"/>
      <c r="M881" s="330"/>
      <c r="N881" s="330"/>
      <c r="O881" s="330"/>
      <c r="P881" s="330"/>
      <c r="Q881" s="330"/>
      <c r="R881" s="330"/>
      <c r="S881" s="330"/>
      <c r="T881" s="330"/>
      <c r="U881" s="331"/>
      <c r="V881" s="186"/>
      <c r="W881" s="186"/>
    </row>
    <row r="882" spans="1:23">
      <c r="A882" s="191"/>
      <c r="B882" s="191"/>
      <c r="C882" s="191"/>
      <c r="D882" s="192"/>
      <c r="E882" s="193"/>
      <c r="F882" s="194"/>
      <c r="G882" s="194"/>
      <c r="H882" s="195"/>
      <c r="I882" s="196"/>
      <c r="J882" s="197"/>
      <c r="K882" s="193"/>
      <c r="L882" s="198"/>
      <c r="M882" s="199"/>
      <c r="N882" s="194"/>
      <c r="O882" s="193"/>
      <c r="P882" s="193"/>
      <c r="Q882" s="200"/>
      <c r="R882" s="201"/>
      <c r="S882" s="201"/>
      <c r="T882" s="197"/>
      <c r="U882" s="201"/>
      <c r="V882" s="186"/>
      <c r="W882" s="186"/>
    </row>
    <row r="883" spans="1:23" ht="15.75">
      <c r="A883" s="191"/>
      <c r="B883" s="191"/>
      <c r="C883" s="191"/>
      <c r="D883" s="192"/>
      <c r="E883" s="329"/>
      <c r="F883" s="330"/>
      <c r="G883" s="330"/>
      <c r="H883" s="330"/>
      <c r="I883" s="330"/>
      <c r="J883" s="330"/>
      <c r="K883" s="330"/>
      <c r="L883" s="330"/>
      <c r="M883" s="330"/>
      <c r="N883" s="330"/>
      <c r="O883" s="330"/>
      <c r="P883" s="330"/>
      <c r="Q883" s="330"/>
      <c r="R883" s="330"/>
      <c r="S883" s="330"/>
      <c r="T883" s="330"/>
      <c r="U883" s="331"/>
      <c r="V883" s="186"/>
      <c r="W883" s="186"/>
    </row>
    <row r="884" spans="1:23" ht="15.75">
      <c r="A884" s="191"/>
      <c r="B884" s="191"/>
      <c r="C884" s="191"/>
      <c r="D884" s="192"/>
      <c r="E884" s="329"/>
      <c r="F884" s="330"/>
      <c r="G884" s="330"/>
      <c r="H884" s="330"/>
      <c r="I884" s="330"/>
      <c r="J884" s="330"/>
      <c r="K884" s="330"/>
      <c r="L884" s="330"/>
      <c r="M884" s="330"/>
      <c r="N884" s="330"/>
      <c r="O884" s="330"/>
      <c r="P884" s="330"/>
      <c r="Q884" s="330"/>
      <c r="R884" s="330"/>
      <c r="S884" s="330"/>
      <c r="T884" s="330"/>
      <c r="U884" s="331"/>
      <c r="V884" s="186"/>
      <c r="W884" s="186"/>
    </row>
    <row r="885" spans="1:23" ht="15.75">
      <c r="A885" s="191"/>
      <c r="B885" s="191"/>
      <c r="C885" s="191"/>
      <c r="D885" s="192"/>
      <c r="E885" s="329"/>
      <c r="F885" s="330"/>
      <c r="G885" s="330"/>
      <c r="H885" s="330"/>
      <c r="I885" s="330"/>
      <c r="J885" s="330"/>
      <c r="K885" s="330"/>
      <c r="L885" s="330"/>
      <c r="M885" s="330"/>
      <c r="N885" s="330"/>
      <c r="O885" s="330"/>
      <c r="P885" s="330"/>
      <c r="Q885" s="330"/>
      <c r="R885" s="330"/>
      <c r="S885" s="330"/>
      <c r="T885" s="330"/>
      <c r="U885" s="331"/>
      <c r="V885" s="186"/>
      <c r="W885" s="186"/>
    </row>
    <row r="886" spans="1:23" ht="15.75">
      <c r="A886" s="191"/>
      <c r="B886" s="191"/>
      <c r="C886" s="191"/>
      <c r="D886" s="192"/>
      <c r="E886" s="329"/>
      <c r="F886" s="330"/>
      <c r="G886" s="330"/>
      <c r="H886" s="330"/>
      <c r="I886" s="330"/>
      <c r="J886" s="330"/>
      <c r="K886" s="330"/>
      <c r="L886" s="330"/>
      <c r="M886" s="330"/>
      <c r="N886" s="330"/>
      <c r="O886" s="330"/>
      <c r="P886" s="330"/>
      <c r="Q886" s="330"/>
      <c r="R886" s="330"/>
      <c r="S886" s="330"/>
      <c r="T886" s="330"/>
      <c r="U886" s="331"/>
      <c r="V886" s="186"/>
      <c r="W886" s="186"/>
    </row>
    <row r="887" spans="1:23">
      <c r="A887" s="191"/>
      <c r="B887" s="191"/>
      <c r="C887" s="191"/>
      <c r="D887" s="192"/>
      <c r="E887" s="193"/>
      <c r="F887" s="194"/>
      <c r="G887" s="194"/>
      <c r="H887" s="195"/>
      <c r="I887" s="196"/>
      <c r="J887" s="197"/>
      <c r="K887" s="193"/>
      <c r="L887" s="198"/>
      <c r="M887" s="199"/>
      <c r="N887" s="194"/>
      <c r="O887" s="193"/>
      <c r="P887" s="193"/>
      <c r="Q887" s="200"/>
      <c r="R887" s="201"/>
      <c r="S887" s="201"/>
      <c r="T887" s="197"/>
      <c r="U887" s="201"/>
      <c r="V887" s="186"/>
      <c r="W887" s="186"/>
    </row>
    <row r="888" spans="1:23" ht="15.75">
      <c r="A888" s="191"/>
      <c r="B888" s="191"/>
      <c r="C888" s="191"/>
      <c r="D888" s="192"/>
      <c r="E888" s="329"/>
      <c r="F888" s="330"/>
      <c r="G888" s="330"/>
      <c r="H888" s="330"/>
      <c r="I888" s="330"/>
      <c r="J888" s="330"/>
      <c r="K888" s="330"/>
      <c r="L888" s="330"/>
      <c r="M888" s="330"/>
      <c r="N888" s="330"/>
      <c r="O888" s="330"/>
      <c r="P888" s="330"/>
      <c r="Q888" s="330"/>
      <c r="R888" s="330"/>
      <c r="S888" s="330"/>
      <c r="T888" s="330"/>
      <c r="U888" s="331"/>
      <c r="V888" s="186"/>
      <c r="W888" s="186"/>
    </row>
    <row r="889" spans="1:23" ht="15.75">
      <c r="A889" s="191"/>
      <c r="B889" s="191"/>
      <c r="C889" s="191"/>
      <c r="D889" s="192"/>
      <c r="E889" s="329"/>
      <c r="F889" s="330"/>
      <c r="G889" s="330"/>
      <c r="H889" s="330"/>
      <c r="I889" s="330"/>
      <c r="J889" s="330"/>
      <c r="K889" s="330"/>
      <c r="L889" s="330"/>
      <c r="M889" s="330"/>
      <c r="N889" s="330"/>
      <c r="O889" s="330"/>
      <c r="P889" s="330"/>
      <c r="Q889" s="330"/>
      <c r="R889" s="330"/>
      <c r="S889" s="330"/>
      <c r="T889" s="330"/>
      <c r="U889" s="331"/>
      <c r="V889" s="186"/>
      <c r="W889" s="186"/>
    </row>
    <row r="890" spans="1:23" ht="15.75">
      <c r="A890" s="191"/>
      <c r="B890" s="191"/>
      <c r="C890" s="191"/>
      <c r="D890" s="192"/>
      <c r="E890" s="329"/>
      <c r="F890" s="330"/>
      <c r="G890" s="330"/>
      <c r="H890" s="330"/>
      <c r="I890" s="330"/>
      <c r="J890" s="330"/>
      <c r="K890" s="330"/>
      <c r="L890" s="330"/>
      <c r="M890" s="330"/>
      <c r="N890" s="330"/>
      <c r="O890" s="330"/>
      <c r="P890" s="330"/>
      <c r="Q890" s="330"/>
      <c r="R890" s="330"/>
      <c r="S890" s="330"/>
      <c r="T890" s="330"/>
      <c r="U890" s="331"/>
      <c r="V890" s="186"/>
      <c r="W890" s="186"/>
    </row>
    <row r="891" spans="1:23">
      <c r="A891" s="191"/>
      <c r="B891" s="191"/>
      <c r="C891" s="191"/>
      <c r="D891" s="192"/>
      <c r="E891" s="193"/>
      <c r="F891" s="194"/>
      <c r="G891" s="194"/>
      <c r="H891" s="195"/>
      <c r="I891" s="196"/>
      <c r="J891" s="197"/>
      <c r="K891" s="193"/>
      <c r="L891" s="198"/>
      <c r="M891" s="199"/>
      <c r="N891" s="194"/>
      <c r="O891" s="193"/>
      <c r="P891" s="193"/>
      <c r="Q891" s="200"/>
      <c r="R891" s="201"/>
      <c r="S891" s="201"/>
      <c r="T891" s="197"/>
      <c r="U891" s="201"/>
      <c r="V891" s="186"/>
      <c r="W891" s="186"/>
    </row>
    <row r="892" spans="1:23" ht="15.75">
      <c r="A892" s="191"/>
      <c r="B892" s="191"/>
      <c r="C892" s="191"/>
      <c r="D892" s="192"/>
      <c r="E892" s="329"/>
      <c r="F892" s="330"/>
      <c r="G892" s="330"/>
      <c r="H892" s="330"/>
      <c r="I892" s="330"/>
      <c r="J892" s="330"/>
      <c r="K892" s="330"/>
      <c r="L892" s="330"/>
      <c r="M892" s="330"/>
      <c r="N892" s="330"/>
      <c r="O892" s="330"/>
      <c r="P892" s="330"/>
      <c r="Q892" s="330"/>
      <c r="R892" s="330"/>
      <c r="S892" s="330"/>
      <c r="T892" s="330"/>
      <c r="U892" s="331"/>
      <c r="V892" s="186"/>
      <c r="W892" s="186"/>
    </row>
    <row r="893" spans="1:23">
      <c r="A893" s="191"/>
      <c r="B893" s="191"/>
      <c r="C893" s="191"/>
      <c r="D893" s="192"/>
      <c r="E893" s="193"/>
      <c r="F893" s="194"/>
      <c r="G893" s="194"/>
      <c r="H893" s="195"/>
      <c r="I893" s="196"/>
      <c r="J893" s="197"/>
      <c r="K893" s="193"/>
      <c r="L893" s="198"/>
      <c r="M893" s="199"/>
      <c r="N893" s="194"/>
      <c r="O893" s="193"/>
      <c r="P893" s="193"/>
      <c r="Q893" s="200"/>
      <c r="R893" s="201"/>
      <c r="S893" s="201"/>
      <c r="T893" s="197"/>
      <c r="U893" s="201"/>
      <c r="V893" s="186"/>
      <c r="W893" s="186"/>
    </row>
    <row r="894" spans="1:23" ht="15.75">
      <c r="A894" s="191"/>
      <c r="B894" s="191"/>
      <c r="C894" s="191"/>
      <c r="D894" s="192"/>
      <c r="E894" s="329"/>
      <c r="F894" s="330"/>
      <c r="G894" s="330"/>
      <c r="H894" s="330"/>
      <c r="I894" s="330"/>
      <c r="J894" s="330"/>
      <c r="K894" s="330"/>
      <c r="L894" s="330"/>
      <c r="M894" s="330"/>
      <c r="N894" s="330"/>
      <c r="O894" s="330"/>
      <c r="P894" s="330"/>
      <c r="Q894" s="330"/>
      <c r="R894" s="330"/>
      <c r="S894" s="330"/>
      <c r="T894" s="330"/>
      <c r="U894" s="331"/>
      <c r="V894" s="186"/>
      <c r="W894" s="186"/>
    </row>
    <row r="895" spans="1:23">
      <c r="A895" s="191"/>
      <c r="B895" s="191"/>
      <c r="C895" s="191"/>
      <c r="D895" s="192"/>
      <c r="E895" s="193"/>
      <c r="F895" s="194"/>
      <c r="G895" s="194"/>
      <c r="H895" s="195"/>
      <c r="I895" s="196"/>
      <c r="J895" s="197"/>
      <c r="K895" s="193"/>
      <c r="L895" s="198"/>
      <c r="M895" s="199"/>
      <c r="N895" s="194"/>
      <c r="O895" s="193"/>
      <c r="P895" s="193"/>
      <c r="Q895" s="200"/>
      <c r="R895" s="201"/>
      <c r="S895" s="201"/>
      <c r="T895" s="197"/>
      <c r="U895" s="201"/>
      <c r="V895" s="186"/>
      <c r="W895" s="186"/>
    </row>
    <row r="896" spans="1:23" ht="15.75">
      <c r="A896" s="191"/>
      <c r="B896" s="191"/>
      <c r="C896" s="191"/>
      <c r="D896" s="192"/>
      <c r="E896" s="329"/>
      <c r="F896" s="330"/>
      <c r="G896" s="330"/>
      <c r="H896" s="330"/>
      <c r="I896" s="330"/>
      <c r="J896" s="330"/>
      <c r="K896" s="330"/>
      <c r="L896" s="330"/>
      <c r="M896" s="330"/>
      <c r="N896" s="330"/>
      <c r="O896" s="330"/>
      <c r="P896" s="330"/>
      <c r="Q896" s="330"/>
      <c r="R896" s="330"/>
      <c r="S896" s="330"/>
      <c r="T896" s="330"/>
      <c r="U896" s="331"/>
      <c r="V896" s="186"/>
      <c r="W896" s="186"/>
    </row>
    <row r="897" spans="1:23" ht="15.75">
      <c r="A897" s="191"/>
      <c r="B897" s="191"/>
      <c r="C897" s="191"/>
      <c r="D897" s="192"/>
      <c r="E897" s="329"/>
      <c r="F897" s="330"/>
      <c r="G897" s="330"/>
      <c r="H897" s="330"/>
      <c r="I897" s="330"/>
      <c r="J897" s="330"/>
      <c r="K897" s="330"/>
      <c r="L897" s="330"/>
      <c r="M897" s="330"/>
      <c r="N897" s="330"/>
      <c r="O897" s="330"/>
      <c r="P897" s="330"/>
      <c r="Q897" s="330"/>
      <c r="R897" s="330"/>
      <c r="S897" s="330"/>
      <c r="T897" s="330"/>
      <c r="U897" s="331"/>
      <c r="V897" s="186"/>
      <c r="W897" s="186"/>
    </row>
    <row r="898" spans="1:23" ht="15.75">
      <c r="A898" s="202"/>
      <c r="B898" s="332"/>
      <c r="C898" s="333"/>
      <c r="D898" s="334"/>
      <c r="E898" s="334"/>
      <c r="F898" s="334"/>
      <c r="G898" s="334"/>
      <c r="H898" s="334"/>
      <c r="I898" s="334"/>
      <c r="J898" s="334"/>
      <c r="K898" s="334"/>
      <c r="L898" s="334"/>
      <c r="M898" s="334"/>
      <c r="N898" s="334"/>
      <c r="O898" s="334"/>
      <c r="P898" s="334"/>
      <c r="Q898" s="334"/>
      <c r="R898" s="334"/>
      <c r="S898" s="334"/>
      <c r="T898" s="334"/>
      <c r="U898" s="335"/>
      <c r="V898" s="186"/>
      <c r="W898" s="52"/>
    </row>
    <row r="899" spans="1:23" ht="15.75">
      <c r="A899" s="191"/>
      <c r="B899" s="191"/>
      <c r="C899" s="191"/>
      <c r="D899" s="192"/>
      <c r="E899" s="329"/>
      <c r="F899" s="330"/>
      <c r="G899" s="330"/>
      <c r="H899" s="330"/>
      <c r="I899" s="330"/>
      <c r="J899" s="330"/>
      <c r="K899" s="330"/>
      <c r="L899" s="330"/>
      <c r="M899" s="330"/>
      <c r="N899" s="330"/>
      <c r="O899" s="330"/>
      <c r="P899" s="330"/>
      <c r="Q899" s="330"/>
      <c r="R899" s="330"/>
      <c r="S899" s="330"/>
      <c r="T899" s="330"/>
      <c r="U899" s="331"/>
      <c r="V899" s="186"/>
      <c r="W899" s="186"/>
    </row>
    <row r="900" spans="1:23" ht="15.75">
      <c r="A900" s="191"/>
      <c r="B900" s="191"/>
      <c r="C900" s="191"/>
      <c r="D900" s="192"/>
      <c r="E900" s="329"/>
      <c r="F900" s="330"/>
      <c r="G900" s="330"/>
      <c r="H900" s="330"/>
      <c r="I900" s="330"/>
      <c r="J900" s="330"/>
      <c r="K900" s="330"/>
      <c r="L900" s="330"/>
      <c r="M900" s="330"/>
      <c r="N900" s="330"/>
      <c r="O900" s="330"/>
      <c r="P900" s="330"/>
      <c r="Q900" s="330"/>
      <c r="R900" s="330"/>
      <c r="S900" s="330"/>
      <c r="T900" s="330"/>
      <c r="U900" s="331"/>
      <c r="V900" s="186"/>
      <c r="W900" s="186"/>
    </row>
    <row r="901" spans="1:23" ht="15.75">
      <c r="A901" s="191"/>
      <c r="B901" s="191"/>
      <c r="C901" s="191"/>
      <c r="D901" s="192"/>
      <c r="E901" s="329"/>
      <c r="F901" s="330"/>
      <c r="G901" s="330"/>
      <c r="H901" s="330"/>
      <c r="I901" s="330"/>
      <c r="J901" s="330"/>
      <c r="K901" s="330"/>
      <c r="L901" s="330"/>
      <c r="M901" s="330"/>
      <c r="N901" s="330"/>
      <c r="O901" s="330"/>
      <c r="P901" s="330"/>
      <c r="Q901" s="330"/>
      <c r="R901" s="330"/>
      <c r="S901" s="330"/>
      <c r="T901" s="330"/>
      <c r="U901" s="331"/>
      <c r="V901" s="186"/>
      <c r="W901" s="186"/>
    </row>
    <row r="902" spans="1:23" ht="15.75">
      <c r="A902" s="191"/>
      <c r="B902" s="191"/>
      <c r="C902" s="191"/>
      <c r="D902" s="192"/>
      <c r="E902" s="329"/>
      <c r="F902" s="330"/>
      <c r="G902" s="330"/>
      <c r="H902" s="330"/>
      <c r="I902" s="330"/>
      <c r="J902" s="330"/>
      <c r="K902" s="330"/>
      <c r="L902" s="330"/>
      <c r="M902" s="330"/>
      <c r="N902" s="330"/>
      <c r="O902" s="330"/>
      <c r="P902" s="330"/>
      <c r="Q902" s="330"/>
      <c r="R902" s="330"/>
      <c r="S902" s="330"/>
      <c r="T902" s="330"/>
      <c r="U902" s="331"/>
      <c r="V902" s="186"/>
      <c r="W902" s="186"/>
    </row>
    <row r="903" spans="1:23">
      <c r="A903" s="191"/>
      <c r="B903" s="191"/>
      <c r="C903" s="191"/>
      <c r="D903" s="192"/>
      <c r="E903" s="193"/>
      <c r="F903" s="194"/>
      <c r="G903" s="194"/>
      <c r="H903" s="195"/>
      <c r="I903" s="196"/>
      <c r="J903" s="197"/>
      <c r="K903" s="193"/>
      <c r="L903" s="198"/>
      <c r="M903" s="199"/>
      <c r="N903" s="194"/>
      <c r="O903" s="193"/>
      <c r="P903" s="193"/>
      <c r="Q903" s="200"/>
      <c r="R903" s="201"/>
      <c r="S903" s="201"/>
      <c r="T903" s="197"/>
      <c r="U903" s="201"/>
      <c r="V903" s="186"/>
      <c r="W903" s="186"/>
    </row>
    <row r="904" spans="1:23" ht="15.75">
      <c r="A904" s="191"/>
      <c r="B904" s="191"/>
      <c r="C904" s="191"/>
      <c r="D904" s="192"/>
      <c r="E904" s="329"/>
      <c r="F904" s="330"/>
      <c r="G904" s="330"/>
      <c r="H904" s="330"/>
      <c r="I904" s="330"/>
      <c r="J904" s="330"/>
      <c r="K904" s="330"/>
      <c r="L904" s="330"/>
      <c r="M904" s="330"/>
      <c r="N904" s="330"/>
      <c r="O904" s="330"/>
      <c r="P904" s="330"/>
      <c r="Q904" s="330"/>
      <c r="R904" s="330"/>
      <c r="S904" s="330"/>
      <c r="T904" s="330"/>
      <c r="U904" s="331"/>
      <c r="V904" s="186"/>
      <c r="W904" s="186"/>
    </row>
    <row r="905" spans="1:23">
      <c r="A905" s="191"/>
      <c r="B905" s="191"/>
      <c r="C905" s="191"/>
      <c r="D905" s="192"/>
      <c r="E905" s="193"/>
      <c r="F905" s="194"/>
      <c r="G905" s="194"/>
      <c r="H905" s="195"/>
      <c r="I905" s="196"/>
      <c r="J905" s="197"/>
      <c r="K905" s="193"/>
      <c r="L905" s="198"/>
      <c r="M905" s="199"/>
      <c r="N905" s="194"/>
      <c r="O905" s="193"/>
      <c r="P905" s="193"/>
      <c r="Q905" s="200"/>
      <c r="R905" s="201"/>
      <c r="S905" s="201"/>
      <c r="T905" s="197"/>
      <c r="U905" s="201"/>
      <c r="V905" s="186"/>
      <c r="W905" s="186"/>
    </row>
    <row r="906" spans="1:23" ht="15.75">
      <c r="A906" s="191"/>
      <c r="B906" s="191"/>
      <c r="C906" s="191"/>
      <c r="D906" s="192"/>
      <c r="E906" s="329"/>
      <c r="F906" s="330"/>
      <c r="G906" s="330"/>
      <c r="H906" s="330"/>
      <c r="I906" s="330"/>
      <c r="J906" s="330"/>
      <c r="K906" s="330"/>
      <c r="L906" s="330"/>
      <c r="M906" s="330"/>
      <c r="N906" s="330"/>
      <c r="O906" s="330"/>
      <c r="P906" s="330"/>
      <c r="Q906" s="330"/>
      <c r="R906" s="330"/>
      <c r="S906" s="330"/>
      <c r="T906" s="330"/>
      <c r="U906" s="331"/>
      <c r="V906" s="186"/>
      <c r="W906" s="186"/>
    </row>
    <row r="907" spans="1:23">
      <c r="A907" s="191"/>
      <c r="B907" s="191"/>
      <c r="C907" s="191"/>
      <c r="D907" s="192"/>
      <c r="E907" s="193"/>
      <c r="F907" s="194"/>
      <c r="G907" s="194"/>
      <c r="H907" s="195"/>
      <c r="I907" s="196"/>
      <c r="J907" s="197"/>
      <c r="K907" s="193"/>
      <c r="L907" s="198"/>
      <c r="M907" s="199"/>
      <c r="N907" s="194"/>
      <c r="O907" s="193"/>
      <c r="P907" s="193"/>
      <c r="Q907" s="200"/>
      <c r="R907" s="201"/>
      <c r="S907" s="201"/>
      <c r="T907" s="197"/>
      <c r="U907" s="201"/>
      <c r="V907" s="186"/>
      <c r="W907" s="186"/>
    </row>
    <row r="908" spans="1:23" ht="15.75">
      <c r="A908" s="191"/>
      <c r="B908" s="191"/>
      <c r="C908" s="191"/>
      <c r="D908" s="192"/>
      <c r="E908" s="329"/>
      <c r="F908" s="330"/>
      <c r="G908" s="330"/>
      <c r="H908" s="330"/>
      <c r="I908" s="330"/>
      <c r="J908" s="330"/>
      <c r="K908" s="330"/>
      <c r="L908" s="330"/>
      <c r="M908" s="330"/>
      <c r="N908" s="330"/>
      <c r="O908" s="330"/>
      <c r="P908" s="330"/>
      <c r="Q908" s="330"/>
      <c r="R908" s="330"/>
      <c r="S908" s="330"/>
      <c r="T908" s="330"/>
      <c r="U908" s="331"/>
      <c r="V908" s="186"/>
      <c r="W908" s="186"/>
    </row>
    <row r="909" spans="1:23" ht="15.75">
      <c r="A909" s="191"/>
      <c r="B909" s="191"/>
      <c r="C909" s="191"/>
      <c r="D909" s="192"/>
      <c r="E909" s="329"/>
      <c r="F909" s="330"/>
      <c r="G909" s="330"/>
      <c r="H909" s="330"/>
      <c r="I909" s="330"/>
      <c r="J909" s="330"/>
      <c r="K909" s="330"/>
      <c r="L909" s="330"/>
      <c r="M909" s="330"/>
      <c r="N909" s="330"/>
      <c r="O909" s="330"/>
      <c r="P909" s="330"/>
      <c r="Q909" s="330"/>
      <c r="R909" s="330"/>
      <c r="S909" s="330"/>
      <c r="T909" s="330"/>
      <c r="U909" s="331"/>
      <c r="V909" s="186"/>
      <c r="W909" s="186"/>
    </row>
    <row r="910" spans="1:23" ht="15.75">
      <c r="A910" s="191"/>
      <c r="B910" s="191"/>
      <c r="C910" s="191"/>
      <c r="D910" s="192"/>
      <c r="E910" s="329"/>
      <c r="F910" s="330"/>
      <c r="G910" s="330"/>
      <c r="H910" s="330"/>
      <c r="I910" s="330"/>
      <c r="J910" s="330"/>
      <c r="K910" s="330"/>
      <c r="L910" s="330"/>
      <c r="M910" s="330"/>
      <c r="N910" s="330"/>
      <c r="O910" s="330"/>
      <c r="P910" s="330"/>
      <c r="Q910" s="330"/>
      <c r="R910" s="330"/>
      <c r="S910" s="330"/>
      <c r="T910" s="330"/>
      <c r="U910" s="331"/>
      <c r="V910" s="186"/>
      <c r="W910" s="186"/>
    </row>
    <row r="911" spans="1:23" ht="15.75">
      <c r="A911" s="191"/>
      <c r="B911" s="191"/>
      <c r="C911" s="191"/>
      <c r="D911" s="192"/>
      <c r="E911" s="329"/>
      <c r="F911" s="330"/>
      <c r="G911" s="330"/>
      <c r="H911" s="330"/>
      <c r="I911" s="330"/>
      <c r="J911" s="330"/>
      <c r="K911" s="330"/>
      <c r="L911" s="330"/>
      <c r="M911" s="330"/>
      <c r="N911" s="330"/>
      <c r="O911" s="330"/>
      <c r="P911" s="330"/>
      <c r="Q911" s="330"/>
      <c r="R911" s="330"/>
      <c r="S911" s="330"/>
      <c r="T911" s="330"/>
      <c r="U911" s="331"/>
      <c r="V911" s="186"/>
      <c r="W911" s="186"/>
    </row>
    <row r="912" spans="1:23" ht="15.75">
      <c r="A912" s="191"/>
      <c r="B912" s="191"/>
      <c r="C912" s="191"/>
      <c r="D912" s="192"/>
      <c r="E912" s="329"/>
      <c r="F912" s="330"/>
      <c r="G912" s="330"/>
      <c r="H912" s="330"/>
      <c r="I912" s="330"/>
      <c r="J912" s="330"/>
      <c r="K912" s="330"/>
      <c r="L912" s="330"/>
      <c r="M912" s="330"/>
      <c r="N912" s="330"/>
      <c r="O912" s="330"/>
      <c r="P912" s="330"/>
      <c r="Q912" s="330"/>
      <c r="R912" s="330"/>
      <c r="S912" s="330"/>
      <c r="T912" s="330"/>
      <c r="U912" s="331"/>
      <c r="V912" s="186"/>
      <c r="W912" s="186"/>
    </row>
    <row r="913" spans="1:23" ht="15.75">
      <c r="A913" s="191"/>
      <c r="B913" s="191"/>
      <c r="C913" s="191"/>
      <c r="D913" s="192"/>
      <c r="E913" s="329"/>
      <c r="F913" s="330"/>
      <c r="G913" s="330"/>
      <c r="H913" s="330"/>
      <c r="I913" s="330"/>
      <c r="J913" s="330"/>
      <c r="K913" s="330"/>
      <c r="L913" s="330"/>
      <c r="M913" s="330"/>
      <c r="N913" s="330"/>
      <c r="O913" s="330"/>
      <c r="P913" s="330"/>
      <c r="Q913" s="330"/>
      <c r="R913" s="330"/>
      <c r="S913" s="330"/>
      <c r="T913" s="330"/>
      <c r="U913" s="331"/>
      <c r="V913" s="186"/>
      <c r="W913" s="186"/>
    </row>
    <row r="914" spans="1:23">
      <c r="A914" s="191"/>
      <c r="B914" s="191"/>
      <c r="C914" s="191"/>
      <c r="D914" s="192"/>
      <c r="E914" s="193"/>
      <c r="F914" s="194"/>
      <c r="G914" s="194"/>
      <c r="H914" s="195"/>
      <c r="I914" s="196"/>
      <c r="J914" s="197"/>
      <c r="K914" s="193"/>
      <c r="L914" s="198"/>
      <c r="M914" s="199"/>
      <c r="N914" s="194"/>
      <c r="O914" s="193"/>
      <c r="P914" s="193"/>
      <c r="Q914" s="200"/>
      <c r="R914" s="201"/>
      <c r="S914" s="201"/>
      <c r="T914" s="197"/>
      <c r="U914" s="201"/>
      <c r="V914" s="186"/>
      <c r="W914" s="186"/>
    </row>
    <row r="915" spans="1:23" ht="15.75">
      <c r="A915" s="191"/>
      <c r="B915" s="191"/>
      <c r="C915" s="191"/>
      <c r="D915" s="192"/>
      <c r="E915" s="329"/>
      <c r="F915" s="330"/>
      <c r="G915" s="330"/>
      <c r="H915" s="330"/>
      <c r="I915" s="330"/>
      <c r="J915" s="330"/>
      <c r="K915" s="330"/>
      <c r="L915" s="330"/>
      <c r="M915" s="330"/>
      <c r="N915" s="330"/>
      <c r="O915" s="330"/>
      <c r="P915" s="330"/>
      <c r="Q915" s="330"/>
      <c r="R915" s="330"/>
      <c r="S915" s="330"/>
      <c r="T915" s="330"/>
      <c r="U915" s="331"/>
      <c r="V915" s="186"/>
      <c r="W915" s="186"/>
    </row>
    <row r="916" spans="1:23" ht="15.75">
      <c r="A916" s="191"/>
      <c r="B916" s="191"/>
      <c r="C916" s="191"/>
      <c r="D916" s="192"/>
      <c r="E916" s="329"/>
      <c r="F916" s="330"/>
      <c r="G916" s="330"/>
      <c r="H916" s="330"/>
      <c r="I916" s="330"/>
      <c r="J916" s="330"/>
      <c r="K916" s="330"/>
      <c r="L916" s="330"/>
      <c r="M916" s="330"/>
      <c r="N916" s="330"/>
      <c r="O916" s="330"/>
      <c r="P916" s="330"/>
      <c r="Q916" s="330"/>
      <c r="R916" s="330"/>
      <c r="S916" s="330"/>
      <c r="T916" s="330"/>
      <c r="U916" s="331"/>
      <c r="V916" s="186"/>
      <c r="W916" s="186"/>
    </row>
    <row r="917" spans="1:23">
      <c r="A917" s="191"/>
      <c r="B917" s="191"/>
      <c r="C917" s="191"/>
      <c r="D917" s="192"/>
      <c r="E917" s="193"/>
      <c r="F917" s="194"/>
      <c r="G917" s="194"/>
      <c r="H917" s="195"/>
      <c r="I917" s="196"/>
      <c r="J917" s="197"/>
      <c r="K917" s="193"/>
      <c r="L917" s="198"/>
      <c r="M917" s="199"/>
      <c r="N917" s="194"/>
      <c r="O917" s="193"/>
      <c r="P917" s="193"/>
      <c r="Q917" s="200"/>
      <c r="R917" s="201"/>
      <c r="S917" s="201"/>
      <c r="T917" s="197"/>
      <c r="U917" s="201"/>
      <c r="V917" s="186"/>
      <c r="W917" s="186"/>
    </row>
    <row r="918" spans="1:23" ht="15.75">
      <c r="A918" s="191"/>
      <c r="B918" s="191"/>
      <c r="C918" s="191"/>
      <c r="D918" s="192"/>
      <c r="E918" s="329"/>
      <c r="F918" s="330"/>
      <c r="G918" s="330"/>
      <c r="H918" s="330"/>
      <c r="I918" s="330"/>
      <c r="J918" s="330"/>
      <c r="K918" s="330"/>
      <c r="L918" s="330"/>
      <c r="M918" s="330"/>
      <c r="N918" s="330"/>
      <c r="O918" s="330"/>
      <c r="P918" s="330"/>
      <c r="Q918" s="330"/>
      <c r="R918" s="330"/>
      <c r="S918" s="330"/>
      <c r="T918" s="330"/>
      <c r="U918" s="331"/>
      <c r="V918" s="186"/>
      <c r="W918" s="186"/>
    </row>
    <row r="919" spans="1:23" ht="15.75">
      <c r="A919" s="191"/>
      <c r="B919" s="191"/>
      <c r="C919" s="191"/>
      <c r="D919" s="192"/>
      <c r="E919" s="329"/>
      <c r="F919" s="330"/>
      <c r="G919" s="330"/>
      <c r="H919" s="330"/>
      <c r="I919" s="330"/>
      <c r="J919" s="330"/>
      <c r="K919" s="330"/>
      <c r="L919" s="330"/>
      <c r="M919" s="330"/>
      <c r="N919" s="330"/>
      <c r="O919" s="330"/>
      <c r="P919" s="330"/>
      <c r="Q919" s="330"/>
      <c r="R919" s="330"/>
      <c r="S919" s="330"/>
      <c r="T919" s="330"/>
      <c r="U919" s="331"/>
      <c r="V919" s="186"/>
      <c r="W919" s="186"/>
    </row>
    <row r="920" spans="1:23">
      <c r="A920" s="191"/>
      <c r="B920" s="191"/>
      <c r="C920" s="191"/>
      <c r="D920" s="192"/>
      <c r="E920" s="193"/>
      <c r="F920" s="194"/>
      <c r="G920" s="194"/>
      <c r="H920" s="195"/>
      <c r="I920" s="196"/>
      <c r="J920" s="197"/>
      <c r="K920" s="193"/>
      <c r="L920" s="198"/>
      <c r="M920" s="199"/>
      <c r="N920" s="194"/>
      <c r="O920" s="193"/>
      <c r="P920" s="193"/>
      <c r="Q920" s="200"/>
      <c r="R920" s="201"/>
      <c r="S920" s="201"/>
      <c r="T920" s="197"/>
      <c r="U920" s="201"/>
      <c r="V920" s="186"/>
      <c r="W920" s="186"/>
    </row>
    <row r="921" spans="1:23" ht="15.75">
      <c r="A921" s="191"/>
      <c r="B921" s="191"/>
      <c r="C921" s="191"/>
      <c r="D921" s="192"/>
      <c r="E921" s="329"/>
      <c r="F921" s="330"/>
      <c r="G921" s="330"/>
      <c r="H921" s="330"/>
      <c r="I921" s="330"/>
      <c r="J921" s="330"/>
      <c r="K921" s="330"/>
      <c r="L921" s="330"/>
      <c r="M921" s="330"/>
      <c r="N921" s="330"/>
      <c r="O921" s="330"/>
      <c r="P921" s="330"/>
      <c r="Q921" s="330"/>
      <c r="R921" s="330"/>
      <c r="S921" s="330"/>
      <c r="T921" s="330"/>
      <c r="U921" s="331"/>
      <c r="V921" s="186"/>
      <c r="W921" s="186"/>
    </row>
    <row r="922" spans="1:23" ht="15.75">
      <c r="A922" s="191"/>
      <c r="B922" s="191"/>
      <c r="C922" s="191"/>
      <c r="D922" s="192"/>
      <c r="E922" s="329"/>
      <c r="F922" s="330"/>
      <c r="G922" s="330"/>
      <c r="H922" s="330"/>
      <c r="I922" s="330"/>
      <c r="J922" s="330"/>
      <c r="K922" s="330"/>
      <c r="L922" s="330"/>
      <c r="M922" s="330"/>
      <c r="N922" s="330"/>
      <c r="O922" s="330"/>
      <c r="P922" s="330"/>
      <c r="Q922" s="330"/>
      <c r="R922" s="330"/>
      <c r="S922" s="330"/>
      <c r="T922" s="330"/>
      <c r="U922" s="331"/>
      <c r="V922" s="186"/>
      <c r="W922" s="186"/>
    </row>
    <row r="923" spans="1:23">
      <c r="A923" s="336"/>
      <c r="B923" s="336"/>
      <c r="C923" s="191"/>
      <c r="D923" s="338"/>
      <c r="E923" s="340"/>
      <c r="F923" s="194"/>
      <c r="G923" s="194"/>
      <c r="H923" s="195"/>
      <c r="I923" s="196"/>
      <c r="J923" s="197"/>
      <c r="K923" s="193"/>
      <c r="L923" s="198"/>
      <c r="M923" s="199"/>
      <c r="N923" s="194"/>
      <c r="O923" s="193"/>
      <c r="P923" s="193"/>
      <c r="Q923" s="200"/>
      <c r="R923" s="201"/>
      <c r="S923" s="201"/>
      <c r="T923" s="197"/>
      <c r="U923" s="201"/>
      <c r="V923" s="186"/>
      <c r="W923" s="186"/>
    </row>
    <row r="924" spans="1:23">
      <c r="A924" s="337"/>
      <c r="B924" s="337"/>
      <c r="C924" s="191"/>
      <c r="D924" s="339"/>
      <c r="E924" s="341"/>
      <c r="F924" s="342"/>
      <c r="G924" s="343"/>
      <c r="H924" s="343"/>
      <c r="I924" s="343"/>
      <c r="J924" s="343"/>
      <c r="K924" s="343"/>
      <c r="L924" s="343"/>
      <c r="M924" s="343"/>
      <c r="N924" s="343"/>
      <c r="O924" s="343"/>
      <c r="P924" s="343"/>
      <c r="Q924" s="343"/>
      <c r="R924" s="343"/>
      <c r="S924" s="343"/>
      <c r="T924" s="343"/>
      <c r="U924" s="344"/>
      <c r="V924" s="186"/>
      <c r="W924" s="186"/>
    </row>
    <row r="925" spans="1:23" ht="15.75">
      <c r="A925" s="191"/>
      <c r="B925" s="191"/>
      <c r="C925" s="191"/>
      <c r="D925" s="192"/>
      <c r="E925" s="329"/>
      <c r="F925" s="330"/>
      <c r="G925" s="330"/>
      <c r="H925" s="330"/>
      <c r="I925" s="330"/>
      <c r="J925" s="330"/>
      <c r="K925" s="330"/>
      <c r="L925" s="330"/>
      <c r="M925" s="330"/>
      <c r="N925" s="330"/>
      <c r="O925" s="330"/>
      <c r="P925" s="330"/>
      <c r="Q925" s="330"/>
      <c r="R925" s="330"/>
      <c r="S925" s="330"/>
      <c r="T925" s="330"/>
      <c r="U925" s="331"/>
      <c r="V925" s="186"/>
      <c r="W925" s="186"/>
    </row>
    <row r="926" spans="1:23" ht="15.75">
      <c r="A926" s="191"/>
      <c r="B926" s="191"/>
      <c r="C926" s="191"/>
      <c r="D926" s="192"/>
      <c r="E926" s="329"/>
      <c r="F926" s="330"/>
      <c r="G926" s="330"/>
      <c r="H926" s="330"/>
      <c r="I926" s="330"/>
      <c r="J926" s="330"/>
      <c r="K926" s="330"/>
      <c r="L926" s="330"/>
      <c r="M926" s="330"/>
      <c r="N926" s="330"/>
      <c r="O926" s="330"/>
      <c r="P926" s="330"/>
      <c r="Q926" s="330"/>
      <c r="R926" s="330"/>
      <c r="S926" s="330"/>
      <c r="T926" s="330"/>
      <c r="U926" s="331"/>
      <c r="V926" s="186"/>
      <c r="W926" s="186"/>
    </row>
    <row r="927" spans="1:23">
      <c r="A927" s="336"/>
      <c r="B927" s="336"/>
      <c r="C927" s="191"/>
      <c r="D927" s="338"/>
      <c r="E927" s="340"/>
      <c r="F927" s="194"/>
      <c r="G927" s="194"/>
      <c r="H927" s="195"/>
      <c r="I927" s="196"/>
      <c r="J927" s="197"/>
      <c r="K927" s="193"/>
      <c r="L927" s="198"/>
      <c r="M927" s="199"/>
      <c r="N927" s="194"/>
      <c r="O927" s="193"/>
      <c r="P927" s="193"/>
      <c r="Q927" s="200"/>
      <c r="R927" s="201"/>
      <c r="S927" s="201"/>
      <c r="T927" s="197"/>
      <c r="U927" s="201"/>
      <c r="V927" s="186"/>
      <c r="W927" s="186"/>
    </row>
    <row r="928" spans="1:23">
      <c r="A928" s="337"/>
      <c r="B928" s="337"/>
      <c r="C928" s="191"/>
      <c r="D928" s="339"/>
      <c r="E928" s="341"/>
      <c r="F928" s="342"/>
      <c r="G928" s="343"/>
      <c r="H928" s="343"/>
      <c r="I928" s="343"/>
      <c r="J928" s="343"/>
      <c r="K928" s="343"/>
      <c r="L928" s="343"/>
      <c r="M928" s="343"/>
      <c r="N928" s="343"/>
      <c r="O928" s="343"/>
      <c r="P928" s="343"/>
      <c r="Q928" s="343"/>
      <c r="R928" s="343"/>
      <c r="S928" s="343"/>
      <c r="T928" s="343"/>
      <c r="U928" s="344"/>
      <c r="V928" s="186"/>
      <c r="W928" s="186"/>
    </row>
    <row r="929" spans="1:23" ht="15.75">
      <c r="A929" s="191"/>
      <c r="B929" s="191"/>
      <c r="C929" s="191"/>
      <c r="D929" s="192"/>
      <c r="E929" s="329"/>
      <c r="F929" s="330"/>
      <c r="G929" s="330"/>
      <c r="H929" s="330"/>
      <c r="I929" s="330"/>
      <c r="J929" s="330"/>
      <c r="K929" s="330"/>
      <c r="L929" s="330"/>
      <c r="M929" s="330"/>
      <c r="N929" s="330"/>
      <c r="O929" s="330"/>
      <c r="P929" s="330"/>
      <c r="Q929" s="330"/>
      <c r="R929" s="330"/>
      <c r="S929" s="330"/>
      <c r="T929" s="330"/>
      <c r="U929" s="331"/>
      <c r="V929" s="186"/>
      <c r="W929" s="186"/>
    </row>
    <row r="930" spans="1:23" ht="15.75">
      <c r="A930" s="191"/>
      <c r="B930" s="191"/>
      <c r="C930" s="191"/>
      <c r="D930" s="192"/>
      <c r="E930" s="329"/>
      <c r="F930" s="330"/>
      <c r="G930" s="330"/>
      <c r="H930" s="330"/>
      <c r="I930" s="330"/>
      <c r="J930" s="330"/>
      <c r="K930" s="330"/>
      <c r="L930" s="330"/>
      <c r="M930" s="330"/>
      <c r="N930" s="330"/>
      <c r="O930" s="330"/>
      <c r="P930" s="330"/>
      <c r="Q930" s="330"/>
      <c r="R930" s="330"/>
      <c r="S930" s="330"/>
      <c r="T930" s="330"/>
      <c r="U930" s="331"/>
      <c r="V930" s="186"/>
      <c r="W930" s="186"/>
    </row>
    <row r="931" spans="1:23">
      <c r="A931" s="191"/>
      <c r="B931" s="191"/>
      <c r="C931" s="191"/>
      <c r="D931" s="192"/>
      <c r="E931" s="193"/>
      <c r="F931" s="194"/>
      <c r="G931" s="194"/>
      <c r="H931" s="195"/>
      <c r="I931" s="196"/>
      <c r="J931" s="197"/>
      <c r="K931" s="193"/>
      <c r="L931" s="198"/>
      <c r="M931" s="199"/>
      <c r="N931" s="194"/>
      <c r="O931" s="193"/>
      <c r="P931" s="193"/>
      <c r="Q931" s="200"/>
      <c r="R931" s="201"/>
      <c r="S931" s="201"/>
      <c r="T931" s="197"/>
      <c r="U931" s="201"/>
      <c r="V931" s="186"/>
      <c r="W931" s="186"/>
    </row>
    <row r="932" spans="1:23" ht="15.75">
      <c r="A932" s="191"/>
      <c r="B932" s="191"/>
      <c r="C932" s="191"/>
      <c r="D932" s="192"/>
      <c r="E932" s="329"/>
      <c r="F932" s="330"/>
      <c r="G932" s="330"/>
      <c r="H932" s="330"/>
      <c r="I932" s="330"/>
      <c r="J932" s="330"/>
      <c r="K932" s="330"/>
      <c r="L932" s="330"/>
      <c r="M932" s="330"/>
      <c r="N932" s="330"/>
      <c r="O932" s="330"/>
      <c r="P932" s="330"/>
      <c r="Q932" s="330"/>
      <c r="R932" s="330"/>
      <c r="S932" s="330"/>
      <c r="T932" s="330"/>
      <c r="U932" s="331"/>
      <c r="V932" s="186"/>
      <c r="W932" s="186"/>
    </row>
    <row r="933" spans="1:23" ht="15.75">
      <c r="A933" s="191"/>
      <c r="B933" s="191"/>
      <c r="C933" s="191"/>
      <c r="D933" s="192"/>
      <c r="E933" s="329"/>
      <c r="F933" s="330"/>
      <c r="G933" s="330"/>
      <c r="H933" s="330"/>
      <c r="I933" s="330"/>
      <c r="J933" s="330"/>
      <c r="K933" s="330"/>
      <c r="L933" s="330"/>
      <c r="M933" s="330"/>
      <c r="N933" s="330"/>
      <c r="O933" s="330"/>
      <c r="P933" s="330"/>
      <c r="Q933" s="330"/>
      <c r="R933" s="330"/>
      <c r="S933" s="330"/>
      <c r="T933" s="330"/>
      <c r="U933" s="331"/>
      <c r="V933" s="186"/>
      <c r="W933" s="186"/>
    </row>
    <row r="934" spans="1:23" ht="15.75">
      <c r="A934" s="191"/>
      <c r="B934" s="191"/>
      <c r="C934" s="191"/>
      <c r="D934" s="192"/>
      <c r="E934" s="329"/>
      <c r="F934" s="330"/>
      <c r="G934" s="330"/>
      <c r="H934" s="330"/>
      <c r="I934" s="330"/>
      <c r="J934" s="330"/>
      <c r="K934" s="330"/>
      <c r="L934" s="330"/>
      <c r="M934" s="330"/>
      <c r="N934" s="330"/>
      <c r="O934" s="330"/>
      <c r="P934" s="330"/>
      <c r="Q934" s="330"/>
      <c r="R934" s="330"/>
      <c r="S934" s="330"/>
      <c r="T934" s="330"/>
      <c r="U934" s="331"/>
      <c r="V934" s="186"/>
      <c r="W934" s="186"/>
    </row>
    <row r="935" spans="1:23" ht="15.75">
      <c r="A935" s="202"/>
      <c r="B935" s="332"/>
      <c r="C935" s="333"/>
      <c r="D935" s="334"/>
      <c r="E935" s="334"/>
      <c r="F935" s="334"/>
      <c r="G935" s="334"/>
      <c r="H935" s="334"/>
      <c r="I935" s="334"/>
      <c r="J935" s="334"/>
      <c r="K935" s="334"/>
      <c r="L935" s="334"/>
      <c r="M935" s="334"/>
      <c r="N935" s="334"/>
      <c r="O935" s="334"/>
      <c r="P935" s="334"/>
      <c r="Q935" s="334"/>
      <c r="R935" s="334"/>
      <c r="S935" s="334"/>
      <c r="T935" s="334"/>
      <c r="U935" s="335"/>
      <c r="V935" s="186"/>
      <c r="W935" s="52"/>
    </row>
    <row r="936" spans="1:23" ht="15.75">
      <c r="A936" s="191"/>
      <c r="B936" s="191"/>
      <c r="C936" s="191"/>
      <c r="D936" s="192"/>
      <c r="E936" s="329"/>
      <c r="F936" s="330"/>
      <c r="G936" s="330"/>
      <c r="H936" s="330"/>
      <c r="I936" s="330"/>
      <c r="J936" s="330"/>
      <c r="K936" s="330"/>
      <c r="L936" s="330"/>
      <c r="M936" s="330"/>
      <c r="N936" s="330"/>
      <c r="O936" s="330"/>
      <c r="P936" s="330"/>
      <c r="Q936" s="330"/>
      <c r="R936" s="330"/>
      <c r="S936" s="330"/>
      <c r="T936" s="330"/>
      <c r="U936" s="331"/>
      <c r="V936" s="186"/>
      <c r="W936" s="186"/>
    </row>
    <row r="937" spans="1:23" ht="15.75">
      <c r="A937" s="191"/>
      <c r="B937" s="191"/>
      <c r="C937" s="191"/>
      <c r="D937" s="192"/>
      <c r="E937" s="329"/>
      <c r="F937" s="330"/>
      <c r="G937" s="330"/>
      <c r="H937" s="330"/>
      <c r="I937" s="330"/>
      <c r="J937" s="330"/>
      <c r="K937" s="330"/>
      <c r="L937" s="330"/>
      <c r="M937" s="330"/>
      <c r="N937" s="330"/>
      <c r="O937" s="330"/>
      <c r="P937" s="330"/>
      <c r="Q937" s="330"/>
      <c r="R937" s="330"/>
      <c r="S937" s="330"/>
      <c r="T937" s="330"/>
      <c r="U937" s="331"/>
      <c r="V937" s="186"/>
      <c r="W937" s="186"/>
    </row>
    <row r="938" spans="1:23">
      <c r="A938" s="191"/>
      <c r="B938" s="191"/>
      <c r="C938" s="191"/>
      <c r="D938" s="192"/>
      <c r="E938" s="193"/>
      <c r="F938" s="194"/>
      <c r="G938" s="194"/>
      <c r="H938" s="195"/>
      <c r="I938" s="196"/>
      <c r="J938" s="197"/>
      <c r="K938" s="193"/>
      <c r="L938" s="198"/>
      <c r="M938" s="199"/>
      <c r="N938" s="194"/>
      <c r="O938" s="193"/>
      <c r="P938" s="193"/>
      <c r="Q938" s="200"/>
      <c r="R938" s="201"/>
      <c r="S938" s="201"/>
      <c r="T938" s="197"/>
      <c r="U938" s="201"/>
      <c r="V938" s="186"/>
      <c r="W938" s="186"/>
    </row>
    <row r="939" spans="1:23" ht="15.75">
      <c r="A939" s="191"/>
      <c r="B939" s="191"/>
      <c r="C939" s="191"/>
      <c r="D939" s="192"/>
      <c r="E939" s="329"/>
      <c r="F939" s="330"/>
      <c r="G939" s="330"/>
      <c r="H939" s="330"/>
      <c r="I939" s="330"/>
      <c r="J939" s="330"/>
      <c r="K939" s="330"/>
      <c r="L939" s="330"/>
      <c r="M939" s="330"/>
      <c r="N939" s="330"/>
      <c r="O939" s="330"/>
      <c r="P939" s="330"/>
      <c r="Q939" s="330"/>
      <c r="R939" s="330"/>
      <c r="S939" s="330"/>
      <c r="T939" s="330"/>
      <c r="U939" s="331"/>
      <c r="V939" s="186"/>
      <c r="W939" s="186"/>
    </row>
    <row r="940" spans="1:23">
      <c r="A940" s="191"/>
      <c r="B940" s="191"/>
      <c r="C940" s="191"/>
      <c r="D940" s="192"/>
      <c r="E940" s="193"/>
      <c r="F940" s="194"/>
      <c r="G940" s="194"/>
      <c r="H940" s="195"/>
      <c r="I940" s="196"/>
      <c r="J940" s="197"/>
      <c r="K940" s="193"/>
      <c r="L940" s="198"/>
      <c r="M940" s="199"/>
      <c r="N940" s="194"/>
      <c r="O940" s="193"/>
      <c r="P940" s="193"/>
      <c r="Q940" s="200"/>
      <c r="R940" s="201"/>
      <c r="S940" s="201"/>
      <c r="T940" s="197"/>
      <c r="U940" s="201"/>
      <c r="V940" s="186"/>
      <c r="W940" s="186"/>
    </row>
    <row r="941" spans="1:23" ht="15.75">
      <c r="A941" s="191"/>
      <c r="B941" s="191"/>
      <c r="C941" s="191"/>
      <c r="D941" s="192"/>
      <c r="E941" s="329"/>
      <c r="F941" s="330"/>
      <c r="G941" s="330"/>
      <c r="H941" s="330"/>
      <c r="I941" s="330"/>
      <c r="J941" s="330"/>
      <c r="K941" s="330"/>
      <c r="L941" s="330"/>
      <c r="M941" s="330"/>
      <c r="N941" s="330"/>
      <c r="O941" s="330"/>
      <c r="P941" s="330"/>
      <c r="Q941" s="330"/>
      <c r="R941" s="330"/>
      <c r="S941" s="330"/>
      <c r="T941" s="330"/>
      <c r="U941" s="331"/>
      <c r="V941" s="186"/>
      <c r="W941" s="186"/>
    </row>
    <row r="942" spans="1:23">
      <c r="A942" s="191"/>
      <c r="B942" s="191"/>
      <c r="C942" s="191"/>
      <c r="D942" s="192"/>
      <c r="E942" s="193"/>
      <c r="F942" s="194"/>
      <c r="G942" s="194"/>
      <c r="H942" s="195"/>
      <c r="I942" s="196"/>
      <c r="J942" s="197"/>
      <c r="K942" s="193"/>
      <c r="L942" s="198"/>
      <c r="M942" s="199"/>
      <c r="N942" s="194"/>
      <c r="O942" s="193"/>
      <c r="P942" s="193"/>
      <c r="Q942" s="200"/>
      <c r="R942" s="201"/>
      <c r="S942" s="201"/>
      <c r="T942" s="197"/>
      <c r="U942" s="201"/>
      <c r="V942" s="186"/>
      <c r="W942" s="186"/>
    </row>
    <row r="943" spans="1:23" ht="15.75">
      <c r="A943" s="191"/>
      <c r="B943" s="191"/>
      <c r="C943" s="191"/>
      <c r="D943" s="192"/>
      <c r="E943" s="329"/>
      <c r="F943" s="330"/>
      <c r="G943" s="330"/>
      <c r="H943" s="330"/>
      <c r="I943" s="330"/>
      <c r="J943" s="330"/>
      <c r="K943" s="330"/>
      <c r="L943" s="330"/>
      <c r="M943" s="330"/>
      <c r="N943" s="330"/>
      <c r="O943" s="330"/>
      <c r="P943" s="330"/>
      <c r="Q943" s="330"/>
      <c r="R943" s="330"/>
      <c r="S943" s="330"/>
      <c r="T943" s="330"/>
      <c r="U943" s="331"/>
      <c r="V943" s="186"/>
      <c r="W943" s="186"/>
    </row>
    <row r="944" spans="1:23" ht="15.75">
      <c r="A944" s="191"/>
      <c r="B944" s="191"/>
      <c r="C944" s="191"/>
      <c r="D944" s="192"/>
      <c r="E944" s="329"/>
      <c r="F944" s="330"/>
      <c r="G944" s="330"/>
      <c r="H944" s="330"/>
      <c r="I944" s="330"/>
      <c r="J944" s="330"/>
      <c r="K944" s="330"/>
      <c r="L944" s="330"/>
      <c r="M944" s="330"/>
      <c r="N944" s="330"/>
      <c r="O944" s="330"/>
      <c r="P944" s="330"/>
      <c r="Q944" s="330"/>
      <c r="R944" s="330"/>
      <c r="S944" s="330"/>
      <c r="T944" s="330"/>
      <c r="U944" s="331"/>
      <c r="V944" s="186"/>
      <c r="W944" s="186"/>
    </row>
    <row r="945" spans="1:23" ht="15.75">
      <c r="A945" s="191"/>
      <c r="B945" s="191"/>
      <c r="C945" s="191"/>
      <c r="D945" s="192"/>
      <c r="E945" s="329"/>
      <c r="F945" s="330"/>
      <c r="G945" s="330"/>
      <c r="H945" s="330"/>
      <c r="I945" s="330"/>
      <c r="J945" s="330"/>
      <c r="K945" s="330"/>
      <c r="L945" s="330"/>
      <c r="M945" s="330"/>
      <c r="N945" s="330"/>
      <c r="O945" s="330"/>
      <c r="P945" s="330"/>
      <c r="Q945" s="330"/>
      <c r="R945" s="330"/>
      <c r="S945" s="330"/>
      <c r="T945" s="330"/>
      <c r="U945" s="331"/>
      <c r="V945" s="186"/>
      <c r="W945" s="186"/>
    </row>
    <row r="946" spans="1:23">
      <c r="A946" s="191"/>
      <c r="B946" s="191"/>
      <c r="C946" s="191"/>
      <c r="D946" s="192"/>
      <c r="E946" s="193"/>
      <c r="F946" s="194"/>
      <c r="G946" s="194"/>
      <c r="H946" s="195"/>
      <c r="I946" s="196"/>
      <c r="J946" s="197"/>
      <c r="K946" s="193"/>
      <c r="L946" s="198"/>
      <c r="M946" s="199"/>
      <c r="N946" s="194"/>
      <c r="O946" s="193"/>
      <c r="P946" s="193"/>
      <c r="Q946" s="200"/>
      <c r="R946" s="201"/>
      <c r="S946" s="201"/>
      <c r="T946" s="197"/>
      <c r="U946" s="201"/>
      <c r="V946" s="186"/>
      <c r="W946" s="186"/>
    </row>
    <row r="947" spans="1:23" ht="15.75">
      <c r="A947" s="191"/>
      <c r="B947" s="191"/>
      <c r="C947" s="191"/>
      <c r="D947" s="192"/>
      <c r="E947" s="329"/>
      <c r="F947" s="330"/>
      <c r="G947" s="330"/>
      <c r="H947" s="330"/>
      <c r="I947" s="330"/>
      <c r="J947" s="330"/>
      <c r="K947" s="330"/>
      <c r="L947" s="330"/>
      <c r="M947" s="330"/>
      <c r="N947" s="330"/>
      <c r="O947" s="330"/>
      <c r="P947" s="330"/>
      <c r="Q947" s="330"/>
      <c r="R947" s="330"/>
      <c r="S947" s="330"/>
      <c r="T947" s="330"/>
      <c r="U947" s="331"/>
      <c r="V947" s="186"/>
      <c r="W947" s="186"/>
    </row>
    <row r="948" spans="1:23">
      <c r="A948" s="191"/>
      <c r="B948" s="191"/>
      <c r="C948" s="191"/>
      <c r="D948" s="192"/>
      <c r="E948" s="193"/>
      <c r="F948" s="194"/>
      <c r="G948" s="194"/>
      <c r="H948" s="195"/>
      <c r="I948" s="196"/>
      <c r="J948" s="197"/>
      <c r="K948" s="193"/>
      <c r="L948" s="198"/>
      <c r="M948" s="199"/>
      <c r="N948" s="194"/>
      <c r="O948" s="193"/>
      <c r="P948" s="193"/>
      <c r="Q948" s="200"/>
      <c r="R948" s="201"/>
      <c r="S948" s="201"/>
      <c r="T948" s="197"/>
      <c r="U948" s="201"/>
      <c r="V948" s="186"/>
      <c r="W948" s="186"/>
    </row>
    <row r="949" spans="1:23" ht="15.75">
      <c r="A949" s="191"/>
      <c r="B949" s="191"/>
      <c r="C949" s="191"/>
      <c r="D949" s="192"/>
      <c r="E949" s="329"/>
      <c r="F949" s="330"/>
      <c r="G949" s="330"/>
      <c r="H949" s="330"/>
      <c r="I949" s="330"/>
      <c r="J949" s="330"/>
      <c r="K949" s="330"/>
      <c r="L949" s="330"/>
      <c r="M949" s="330"/>
      <c r="N949" s="330"/>
      <c r="O949" s="330"/>
      <c r="P949" s="330"/>
      <c r="Q949" s="330"/>
      <c r="R949" s="330"/>
      <c r="S949" s="330"/>
      <c r="T949" s="330"/>
      <c r="U949" s="331"/>
      <c r="V949" s="186"/>
      <c r="W949" s="186"/>
    </row>
    <row r="950" spans="1:23">
      <c r="A950" s="191"/>
      <c r="B950" s="191"/>
      <c r="C950" s="191"/>
      <c r="D950" s="192"/>
      <c r="E950" s="193"/>
      <c r="F950" s="194"/>
      <c r="G950" s="194"/>
      <c r="H950" s="195"/>
      <c r="I950" s="196"/>
      <c r="J950" s="197"/>
      <c r="K950" s="193"/>
      <c r="L950" s="198"/>
      <c r="M950" s="199"/>
      <c r="N950" s="194"/>
      <c r="O950" s="193"/>
      <c r="P950" s="193"/>
      <c r="Q950" s="200"/>
      <c r="R950" s="201"/>
      <c r="S950" s="201"/>
      <c r="T950" s="197"/>
      <c r="U950" s="201"/>
      <c r="V950" s="186"/>
      <c r="W950" s="186"/>
    </row>
    <row r="951" spans="1:23" ht="15.75">
      <c r="A951" s="191"/>
      <c r="B951" s="191"/>
      <c r="C951" s="191"/>
      <c r="D951" s="192"/>
      <c r="E951" s="329"/>
      <c r="F951" s="330"/>
      <c r="G951" s="330"/>
      <c r="H951" s="330"/>
      <c r="I951" s="330"/>
      <c r="J951" s="330"/>
      <c r="K951" s="330"/>
      <c r="L951" s="330"/>
      <c r="M951" s="330"/>
      <c r="N951" s="330"/>
      <c r="O951" s="330"/>
      <c r="P951" s="330"/>
      <c r="Q951" s="330"/>
      <c r="R951" s="330"/>
      <c r="S951" s="330"/>
      <c r="T951" s="330"/>
      <c r="U951" s="331"/>
      <c r="V951" s="186"/>
      <c r="W951" s="186"/>
    </row>
    <row r="952" spans="1:23">
      <c r="A952" s="336"/>
      <c r="B952" s="336"/>
      <c r="C952" s="191"/>
      <c r="D952" s="338"/>
      <c r="E952" s="340"/>
      <c r="F952" s="194"/>
      <c r="G952" s="194"/>
      <c r="H952" s="195"/>
      <c r="I952" s="196"/>
      <c r="J952" s="197"/>
      <c r="K952" s="193"/>
      <c r="L952" s="198"/>
      <c r="M952" s="199"/>
      <c r="N952" s="194"/>
      <c r="O952" s="193"/>
      <c r="P952" s="193"/>
      <c r="Q952" s="200"/>
      <c r="R952" s="201"/>
      <c r="S952" s="201"/>
      <c r="T952" s="197"/>
      <c r="U952" s="201"/>
      <c r="V952" s="186"/>
      <c r="W952" s="186"/>
    </row>
    <row r="953" spans="1:23">
      <c r="A953" s="337"/>
      <c r="B953" s="337"/>
      <c r="C953" s="191"/>
      <c r="D953" s="339"/>
      <c r="E953" s="341"/>
      <c r="F953" s="342"/>
      <c r="G953" s="343"/>
      <c r="H953" s="343"/>
      <c r="I953" s="343"/>
      <c r="J953" s="343"/>
      <c r="K953" s="343"/>
      <c r="L953" s="343"/>
      <c r="M953" s="343"/>
      <c r="N953" s="343"/>
      <c r="O953" s="343"/>
      <c r="P953" s="343"/>
      <c r="Q953" s="343"/>
      <c r="R953" s="343"/>
      <c r="S953" s="343"/>
      <c r="T953" s="343"/>
      <c r="U953" s="344"/>
      <c r="V953" s="186"/>
      <c r="W953" s="186"/>
    </row>
    <row r="954" spans="1:23" ht="15.75">
      <c r="A954" s="191"/>
      <c r="B954" s="191"/>
      <c r="C954" s="191"/>
      <c r="D954" s="192"/>
      <c r="E954" s="329"/>
      <c r="F954" s="330"/>
      <c r="G954" s="330"/>
      <c r="H954" s="330"/>
      <c r="I954" s="330"/>
      <c r="J954" s="330"/>
      <c r="K954" s="330"/>
      <c r="L954" s="330"/>
      <c r="M954" s="330"/>
      <c r="N954" s="330"/>
      <c r="O954" s="330"/>
      <c r="P954" s="330"/>
      <c r="Q954" s="330"/>
      <c r="R954" s="330"/>
      <c r="S954" s="330"/>
      <c r="T954" s="330"/>
      <c r="U954" s="331"/>
      <c r="V954" s="186"/>
      <c r="W954" s="186"/>
    </row>
    <row r="955" spans="1:23" ht="15.75">
      <c r="A955" s="191"/>
      <c r="B955" s="191"/>
      <c r="C955" s="191"/>
      <c r="D955" s="192"/>
      <c r="E955" s="329"/>
      <c r="F955" s="330"/>
      <c r="G955" s="330"/>
      <c r="H955" s="330"/>
      <c r="I955" s="330"/>
      <c r="J955" s="330"/>
      <c r="K955" s="330"/>
      <c r="L955" s="330"/>
      <c r="M955" s="330"/>
      <c r="N955" s="330"/>
      <c r="O955" s="330"/>
      <c r="P955" s="330"/>
      <c r="Q955" s="330"/>
      <c r="R955" s="330"/>
      <c r="S955" s="330"/>
      <c r="T955" s="330"/>
      <c r="U955" s="331"/>
      <c r="V955" s="186"/>
      <c r="W955" s="186"/>
    </row>
    <row r="956" spans="1:23">
      <c r="A956" s="336"/>
      <c r="B956" s="336"/>
      <c r="C956" s="191"/>
      <c r="D956" s="338"/>
      <c r="E956" s="340"/>
      <c r="F956" s="194"/>
      <c r="G956" s="194"/>
      <c r="H956" s="195"/>
      <c r="I956" s="196"/>
      <c r="J956" s="197"/>
      <c r="K956" s="193"/>
      <c r="L956" s="198"/>
      <c r="M956" s="199"/>
      <c r="N956" s="194"/>
      <c r="O956" s="193"/>
      <c r="P956" s="193"/>
      <c r="Q956" s="200"/>
      <c r="R956" s="201"/>
      <c r="S956" s="201"/>
      <c r="T956" s="197"/>
      <c r="U956" s="201"/>
      <c r="V956" s="186"/>
      <c r="W956" s="186"/>
    </row>
    <row r="957" spans="1:23">
      <c r="A957" s="337"/>
      <c r="B957" s="337"/>
      <c r="C957" s="191"/>
      <c r="D957" s="339"/>
      <c r="E957" s="341"/>
      <c r="F957" s="342"/>
      <c r="G957" s="343"/>
      <c r="H957" s="343"/>
      <c r="I957" s="343"/>
      <c r="J957" s="343"/>
      <c r="K957" s="343"/>
      <c r="L957" s="343"/>
      <c r="M957" s="343"/>
      <c r="N957" s="343"/>
      <c r="O957" s="343"/>
      <c r="P957" s="343"/>
      <c r="Q957" s="343"/>
      <c r="R957" s="343"/>
      <c r="S957" s="343"/>
      <c r="T957" s="343"/>
      <c r="U957" s="344"/>
      <c r="V957" s="186"/>
      <c r="W957" s="186"/>
    </row>
    <row r="958" spans="1:23" ht="15.75">
      <c r="A958" s="191"/>
      <c r="B958" s="191"/>
      <c r="C958" s="191"/>
      <c r="D958" s="192"/>
      <c r="E958" s="329"/>
      <c r="F958" s="330"/>
      <c r="G958" s="330"/>
      <c r="H958" s="330"/>
      <c r="I958" s="330"/>
      <c r="J958" s="330"/>
      <c r="K958" s="330"/>
      <c r="L958" s="330"/>
      <c r="M958" s="330"/>
      <c r="N958" s="330"/>
      <c r="O958" s="330"/>
      <c r="P958" s="330"/>
      <c r="Q958" s="330"/>
      <c r="R958" s="330"/>
      <c r="S958" s="330"/>
      <c r="T958" s="330"/>
      <c r="U958" s="331"/>
      <c r="V958" s="186"/>
      <c r="W958" s="186"/>
    </row>
    <row r="959" spans="1:23" ht="15.75">
      <c r="A959" s="191"/>
      <c r="B959" s="191"/>
      <c r="C959" s="191"/>
      <c r="D959" s="192"/>
      <c r="E959" s="329"/>
      <c r="F959" s="330"/>
      <c r="G959" s="330"/>
      <c r="H959" s="330"/>
      <c r="I959" s="330"/>
      <c r="J959" s="330"/>
      <c r="K959" s="330"/>
      <c r="L959" s="330"/>
      <c r="M959" s="330"/>
      <c r="N959" s="330"/>
      <c r="O959" s="330"/>
      <c r="P959" s="330"/>
      <c r="Q959" s="330"/>
      <c r="R959" s="330"/>
      <c r="S959" s="330"/>
      <c r="T959" s="330"/>
      <c r="U959" s="331"/>
      <c r="V959" s="186"/>
      <c r="W959" s="186"/>
    </row>
    <row r="960" spans="1:23" ht="15.75">
      <c r="A960" s="191"/>
      <c r="B960" s="191"/>
      <c r="C960" s="191"/>
      <c r="D960" s="192"/>
      <c r="E960" s="329"/>
      <c r="F960" s="330"/>
      <c r="G960" s="330"/>
      <c r="H960" s="330"/>
      <c r="I960" s="330"/>
      <c r="J960" s="330"/>
      <c r="K960" s="330"/>
      <c r="L960" s="330"/>
      <c r="M960" s="330"/>
      <c r="N960" s="330"/>
      <c r="O960" s="330"/>
      <c r="P960" s="330"/>
      <c r="Q960" s="330"/>
      <c r="R960" s="330"/>
      <c r="S960" s="330"/>
      <c r="T960" s="330"/>
      <c r="U960" s="331"/>
      <c r="V960" s="186"/>
      <c r="W960" s="186"/>
    </row>
    <row r="961" spans="1:23" ht="15.75">
      <c r="A961" s="202"/>
      <c r="B961" s="332"/>
      <c r="C961" s="333"/>
      <c r="D961" s="334"/>
      <c r="E961" s="334"/>
      <c r="F961" s="334"/>
      <c r="G961" s="334"/>
      <c r="H961" s="334"/>
      <c r="I961" s="334"/>
      <c r="J961" s="334"/>
      <c r="K961" s="334"/>
      <c r="L961" s="334"/>
      <c r="M961" s="334"/>
      <c r="N961" s="334"/>
      <c r="O961" s="334"/>
      <c r="P961" s="334"/>
      <c r="Q961" s="334"/>
      <c r="R961" s="334"/>
      <c r="S961" s="334"/>
      <c r="T961" s="334"/>
      <c r="U961" s="335"/>
      <c r="V961" s="186"/>
      <c r="W961" s="52"/>
    </row>
    <row r="962" spans="1:23" ht="15.75">
      <c r="A962" s="191"/>
      <c r="B962" s="191"/>
      <c r="C962" s="191"/>
      <c r="D962" s="192"/>
      <c r="E962" s="329"/>
      <c r="F962" s="330"/>
      <c r="G962" s="330"/>
      <c r="H962" s="330"/>
      <c r="I962" s="330"/>
      <c r="J962" s="330"/>
      <c r="K962" s="330"/>
      <c r="L962" s="330"/>
      <c r="M962" s="330"/>
      <c r="N962" s="330"/>
      <c r="O962" s="330"/>
      <c r="P962" s="330"/>
      <c r="Q962" s="330"/>
      <c r="R962" s="330"/>
      <c r="S962" s="330"/>
      <c r="T962" s="330"/>
      <c r="U962" s="331"/>
      <c r="V962" s="186"/>
      <c r="W962" s="186"/>
    </row>
    <row r="963" spans="1:23" ht="15.75">
      <c r="A963" s="191"/>
      <c r="B963" s="191"/>
      <c r="C963" s="191"/>
      <c r="D963" s="192"/>
      <c r="E963" s="329"/>
      <c r="F963" s="330"/>
      <c r="G963" s="330"/>
      <c r="H963" s="330"/>
      <c r="I963" s="330"/>
      <c r="J963" s="330"/>
      <c r="K963" s="330"/>
      <c r="L963" s="330"/>
      <c r="M963" s="330"/>
      <c r="N963" s="330"/>
      <c r="O963" s="330"/>
      <c r="P963" s="330"/>
      <c r="Q963" s="330"/>
      <c r="R963" s="330"/>
      <c r="S963" s="330"/>
      <c r="T963" s="330"/>
      <c r="U963" s="331"/>
      <c r="V963" s="186"/>
      <c r="W963" s="186"/>
    </row>
    <row r="964" spans="1:23">
      <c r="A964" s="191"/>
      <c r="B964" s="191"/>
      <c r="C964" s="191"/>
      <c r="D964" s="192"/>
      <c r="E964" s="193"/>
      <c r="F964" s="194"/>
      <c r="G964" s="194"/>
      <c r="H964" s="195"/>
      <c r="I964" s="196"/>
      <c r="J964" s="197"/>
      <c r="K964" s="193"/>
      <c r="L964" s="198"/>
      <c r="M964" s="199"/>
      <c r="N964" s="194"/>
      <c r="O964" s="193"/>
      <c r="P964" s="193"/>
      <c r="Q964" s="200"/>
      <c r="R964" s="201"/>
      <c r="S964" s="201"/>
      <c r="T964" s="197"/>
      <c r="U964" s="201"/>
      <c r="V964" s="186"/>
      <c r="W964" s="186"/>
    </row>
    <row r="965" spans="1:23" ht="15.75">
      <c r="A965" s="191"/>
      <c r="B965" s="191"/>
      <c r="C965" s="191"/>
      <c r="D965" s="192"/>
      <c r="E965" s="329"/>
      <c r="F965" s="330"/>
      <c r="G965" s="330"/>
      <c r="H965" s="330"/>
      <c r="I965" s="330"/>
      <c r="J965" s="330"/>
      <c r="K965" s="330"/>
      <c r="L965" s="330"/>
      <c r="M965" s="330"/>
      <c r="N965" s="330"/>
      <c r="O965" s="330"/>
      <c r="P965" s="330"/>
      <c r="Q965" s="330"/>
      <c r="R965" s="330"/>
      <c r="S965" s="330"/>
      <c r="T965" s="330"/>
      <c r="U965" s="331"/>
      <c r="V965" s="186"/>
      <c r="W965" s="186"/>
    </row>
    <row r="966" spans="1:23" ht="15.75">
      <c r="A966" s="191"/>
      <c r="B966" s="191"/>
      <c r="C966" s="191"/>
      <c r="D966" s="192"/>
      <c r="E966" s="329"/>
      <c r="F966" s="330"/>
      <c r="G966" s="330"/>
      <c r="H966" s="330"/>
      <c r="I966" s="330"/>
      <c r="J966" s="330"/>
      <c r="K966" s="330"/>
      <c r="L966" s="330"/>
      <c r="M966" s="330"/>
      <c r="N966" s="330"/>
      <c r="O966" s="330"/>
      <c r="P966" s="330"/>
      <c r="Q966" s="330"/>
      <c r="R966" s="330"/>
      <c r="S966" s="330"/>
      <c r="T966" s="330"/>
      <c r="U966" s="331"/>
      <c r="V966" s="186"/>
      <c r="W966" s="186"/>
    </row>
    <row r="967" spans="1:23" ht="26.25" customHeight="1">
      <c r="A967" s="191"/>
      <c r="B967" s="191"/>
      <c r="C967" s="191"/>
      <c r="D967" s="192"/>
      <c r="E967" s="193"/>
      <c r="F967" s="194"/>
      <c r="G967" s="194"/>
      <c r="H967" s="195"/>
      <c r="I967" s="196"/>
      <c r="J967" s="197"/>
      <c r="K967" s="193"/>
      <c r="L967" s="198"/>
      <c r="M967" s="199"/>
      <c r="N967" s="194"/>
      <c r="O967" s="193"/>
      <c r="P967" s="193"/>
      <c r="Q967" s="200"/>
      <c r="R967" s="201"/>
      <c r="S967" s="201"/>
      <c r="T967" s="197"/>
      <c r="U967" s="201"/>
      <c r="V967" s="186"/>
      <c r="W967" s="186"/>
    </row>
    <row r="968" spans="1:23" ht="15.75">
      <c r="A968" s="191"/>
      <c r="B968" s="191"/>
      <c r="C968" s="191"/>
      <c r="D968" s="192"/>
      <c r="E968" s="329"/>
      <c r="F968" s="330"/>
      <c r="G968" s="330"/>
      <c r="H968" s="330"/>
      <c r="I968" s="330"/>
      <c r="J968" s="330"/>
      <c r="K968" s="330"/>
      <c r="L968" s="330"/>
      <c r="M968" s="330"/>
      <c r="N968" s="330"/>
      <c r="O968" s="330"/>
      <c r="P968" s="330"/>
      <c r="Q968" s="330"/>
      <c r="R968" s="330"/>
      <c r="S968" s="330"/>
      <c r="T968" s="330"/>
      <c r="U968" s="331"/>
      <c r="V968" s="186"/>
      <c r="W968" s="186"/>
    </row>
    <row r="969" spans="1:23" ht="15.75">
      <c r="A969" s="191"/>
      <c r="B969" s="191"/>
      <c r="C969" s="191"/>
      <c r="D969" s="192"/>
      <c r="E969" s="329"/>
      <c r="F969" s="330"/>
      <c r="G969" s="330"/>
      <c r="H969" s="330"/>
      <c r="I969" s="330"/>
      <c r="J969" s="330"/>
      <c r="K969" s="330"/>
      <c r="L969" s="330"/>
      <c r="M969" s="330"/>
      <c r="N969" s="330"/>
      <c r="O969" s="330"/>
      <c r="P969" s="330"/>
      <c r="Q969" s="330"/>
      <c r="R969" s="330"/>
      <c r="S969" s="330"/>
      <c r="T969" s="330"/>
      <c r="U969" s="331"/>
      <c r="V969" s="186"/>
      <c r="W969" s="186"/>
    </row>
    <row r="970" spans="1:23">
      <c r="A970" s="191"/>
      <c r="B970" s="191"/>
      <c r="C970" s="191"/>
      <c r="D970" s="192"/>
      <c r="E970" s="193"/>
      <c r="F970" s="194"/>
      <c r="G970" s="194"/>
      <c r="H970" s="195"/>
      <c r="I970" s="196"/>
      <c r="J970" s="197"/>
      <c r="K970" s="193"/>
      <c r="L970" s="198"/>
      <c r="M970" s="199"/>
      <c r="N970" s="194"/>
      <c r="O970" s="193"/>
      <c r="P970" s="193"/>
      <c r="Q970" s="200"/>
      <c r="R970" s="201"/>
      <c r="S970" s="201"/>
      <c r="T970" s="197"/>
      <c r="U970" s="201"/>
      <c r="V970" s="186"/>
      <c r="W970" s="186"/>
    </row>
    <row r="971" spans="1:23" ht="15.75">
      <c r="A971" s="191"/>
      <c r="B971" s="191"/>
      <c r="C971" s="191"/>
      <c r="D971" s="192"/>
      <c r="E971" s="329"/>
      <c r="F971" s="330"/>
      <c r="G971" s="330"/>
      <c r="H971" s="330"/>
      <c r="I971" s="330"/>
      <c r="J971" s="330"/>
      <c r="K971" s="330"/>
      <c r="L971" s="330"/>
      <c r="M971" s="330"/>
      <c r="N971" s="330"/>
      <c r="O971" s="330"/>
      <c r="P971" s="330"/>
      <c r="Q971" s="330"/>
      <c r="R971" s="330"/>
      <c r="S971" s="330"/>
      <c r="T971" s="330"/>
      <c r="U971" s="331"/>
      <c r="V971" s="186"/>
      <c r="W971" s="186"/>
    </row>
    <row r="972" spans="1:23" ht="15.75">
      <c r="A972" s="191"/>
      <c r="B972" s="191"/>
      <c r="C972" s="191"/>
      <c r="D972" s="192"/>
      <c r="E972" s="329"/>
      <c r="F972" s="330"/>
      <c r="G972" s="330"/>
      <c r="H972" s="330"/>
      <c r="I972" s="330"/>
      <c r="J972" s="330"/>
      <c r="K972" s="330"/>
      <c r="L972" s="330"/>
      <c r="M972" s="330"/>
      <c r="N972" s="330"/>
      <c r="O972" s="330"/>
      <c r="P972" s="330"/>
      <c r="Q972" s="330"/>
      <c r="R972" s="330"/>
      <c r="S972" s="330"/>
      <c r="T972" s="330"/>
      <c r="U972" s="331"/>
      <c r="V972" s="186"/>
      <c r="W972" s="186"/>
    </row>
    <row r="973" spans="1:23" ht="15.75">
      <c r="A973" s="191"/>
      <c r="B973" s="191"/>
      <c r="C973" s="191"/>
      <c r="D973" s="192"/>
      <c r="E973" s="329"/>
      <c r="F973" s="330"/>
      <c r="G973" s="330"/>
      <c r="H973" s="330"/>
      <c r="I973" s="330"/>
      <c r="J973" s="330"/>
      <c r="K973" s="330"/>
      <c r="L973" s="330"/>
      <c r="M973" s="330"/>
      <c r="N973" s="330"/>
      <c r="O973" s="330"/>
      <c r="P973" s="330"/>
      <c r="Q973" s="330"/>
      <c r="R973" s="330"/>
      <c r="S973" s="330"/>
      <c r="T973" s="330"/>
      <c r="U973" s="331"/>
      <c r="V973" s="186"/>
      <c r="W973" s="186"/>
    </row>
    <row r="974" spans="1:23">
      <c r="A974" s="191"/>
      <c r="B974" s="191"/>
      <c r="C974" s="191"/>
      <c r="D974" s="192"/>
      <c r="E974" s="193"/>
      <c r="F974" s="194"/>
      <c r="G974" s="194"/>
      <c r="H974" s="195"/>
      <c r="I974" s="196"/>
      <c r="J974" s="197"/>
      <c r="K974" s="193"/>
      <c r="L974" s="198"/>
      <c r="M974" s="199"/>
      <c r="N974" s="194"/>
      <c r="O974" s="193"/>
      <c r="P974" s="193"/>
      <c r="Q974" s="200"/>
      <c r="R974" s="201"/>
      <c r="S974" s="201"/>
      <c r="T974" s="197"/>
      <c r="U974" s="201"/>
      <c r="V974" s="186"/>
      <c r="W974" s="186"/>
    </row>
    <row r="975" spans="1:23" ht="15.75">
      <c r="A975" s="191"/>
      <c r="B975" s="191"/>
      <c r="C975" s="191"/>
      <c r="D975" s="192"/>
      <c r="E975" s="329"/>
      <c r="F975" s="330"/>
      <c r="G975" s="330"/>
      <c r="H975" s="330"/>
      <c r="I975" s="330"/>
      <c r="J975" s="330"/>
      <c r="K975" s="330"/>
      <c r="L975" s="330"/>
      <c r="M975" s="330"/>
      <c r="N975" s="330"/>
      <c r="O975" s="330"/>
      <c r="P975" s="330"/>
      <c r="Q975" s="330"/>
      <c r="R975" s="330"/>
      <c r="S975" s="330"/>
      <c r="T975" s="330"/>
      <c r="U975" s="331"/>
      <c r="V975" s="186"/>
      <c r="W975" s="186"/>
    </row>
    <row r="976" spans="1:23" ht="21" customHeight="1">
      <c r="A976" s="191"/>
      <c r="B976" s="191"/>
      <c r="C976" s="191"/>
      <c r="D976" s="192"/>
      <c r="E976" s="193"/>
      <c r="F976" s="194"/>
      <c r="G976" s="194"/>
      <c r="H976" s="195"/>
      <c r="I976" s="196"/>
      <c r="J976" s="197"/>
      <c r="K976" s="193"/>
      <c r="L976" s="198"/>
      <c r="M976" s="199"/>
      <c r="N976" s="194"/>
      <c r="O976" s="193"/>
      <c r="P976" s="193"/>
      <c r="Q976" s="200"/>
      <c r="R976" s="201"/>
      <c r="S976" s="201"/>
      <c r="T976" s="197"/>
      <c r="U976" s="201"/>
      <c r="V976" s="186"/>
      <c r="W976" s="186"/>
    </row>
    <row r="977" spans="1:23" ht="15.75">
      <c r="A977" s="191"/>
      <c r="B977" s="191"/>
      <c r="C977" s="191"/>
      <c r="D977" s="192"/>
      <c r="E977" s="329"/>
      <c r="F977" s="330"/>
      <c r="G977" s="330"/>
      <c r="H977" s="330"/>
      <c r="I977" s="330"/>
      <c r="J977" s="330"/>
      <c r="K977" s="330"/>
      <c r="L977" s="330"/>
      <c r="M977" s="330"/>
      <c r="N977" s="330"/>
      <c r="O977" s="330"/>
      <c r="P977" s="330"/>
      <c r="Q977" s="330"/>
      <c r="R977" s="330"/>
      <c r="S977" s="330"/>
      <c r="T977" s="330"/>
      <c r="U977" s="331"/>
      <c r="V977" s="186"/>
      <c r="W977" s="186"/>
    </row>
    <row r="978" spans="1:23" ht="15.75">
      <c r="A978" s="191"/>
      <c r="B978" s="191"/>
      <c r="C978" s="191"/>
      <c r="D978" s="192"/>
      <c r="E978" s="329"/>
      <c r="F978" s="330"/>
      <c r="G978" s="330"/>
      <c r="H978" s="330"/>
      <c r="I978" s="330"/>
      <c r="J978" s="330"/>
      <c r="K978" s="330"/>
      <c r="L978" s="330"/>
      <c r="M978" s="330"/>
      <c r="N978" s="330"/>
      <c r="O978" s="330"/>
      <c r="P978" s="330"/>
      <c r="Q978" s="330"/>
      <c r="R978" s="330"/>
      <c r="S978" s="330"/>
      <c r="T978" s="330"/>
      <c r="U978" s="331"/>
      <c r="V978" s="186"/>
      <c r="W978" s="186"/>
    </row>
    <row r="979" spans="1:23" ht="15.75">
      <c r="A979" s="191"/>
      <c r="B979" s="191"/>
      <c r="C979" s="191"/>
      <c r="D979" s="192"/>
      <c r="E979" s="329"/>
      <c r="F979" s="330"/>
      <c r="G979" s="330"/>
      <c r="H979" s="330"/>
      <c r="I979" s="330"/>
      <c r="J979" s="330"/>
      <c r="K979" s="330"/>
      <c r="L979" s="330"/>
      <c r="M979" s="330"/>
      <c r="N979" s="330"/>
      <c r="O979" s="330"/>
      <c r="P979" s="330"/>
      <c r="Q979" s="330"/>
      <c r="R979" s="330"/>
      <c r="S979" s="330"/>
      <c r="T979" s="330"/>
      <c r="U979" s="331"/>
      <c r="V979" s="186"/>
      <c r="W979" s="186"/>
    </row>
    <row r="980" spans="1:23" ht="15.75">
      <c r="A980" s="191"/>
      <c r="B980" s="191"/>
      <c r="C980" s="191"/>
      <c r="D980" s="192"/>
      <c r="E980" s="329"/>
      <c r="F980" s="330"/>
      <c r="G980" s="330"/>
      <c r="H980" s="330"/>
      <c r="I980" s="330"/>
      <c r="J980" s="330"/>
      <c r="K980" s="330"/>
      <c r="L980" s="330"/>
      <c r="M980" s="330"/>
      <c r="N980" s="330"/>
      <c r="O980" s="330"/>
      <c r="P980" s="330"/>
      <c r="Q980" s="330"/>
      <c r="R980" s="330"/>
      <c r="S980" s="330"/>
      <c r="T980" s="330"/>
      <c r="U980" s="331"/>
      <c r="V980" s="186"/>
      <c r="W980" s="186"/>
    </row>
    <row r="981" spans="1:23">
      <c r="A981" s="191"/>
      <c r="B981" s="191"/>
      <c r="C981" s="191"/>
      <c r="D981" s="192"/>
      <c r="E981" s="193"/>
      <c r="F981" s="194"/>
      <c r="G981" s="194"/>
      <c r="H981" s="195"/>
      <c r="I981" s="196"/>
      <c r="J981" s="197"/>
      <c r="K981" s="193"/>
      <c r="L981" s="198"/>
      <c r="M981" s="199"/>
      <c r="N981" s="194"/>
      <c r="O981" s="193"/>
      <c r="P981" s="193"/>
      <c r="Q981" s="200"/>
      <c r="R981" s="201"/>
      <c r="S981" s="201"/>
      <c r="T981" s="197"/>
      <c r="U981" s="201"/>
      <c r="V981" s="186"/>
      <c r="W981" s="186"/>
    </row>
    <row r="982" spans="1:23" ht="15.75">
      <c r="A982" s="191"/>
      <c r="B982" s="191"/>
      <c r="C982" s="191"/>
      <c r="D982" s="192"/>
      <c r="E982" s="329"/>
      <c r="F982" s="330"/>
      <c r="G982" s="330"/>
      <c r="H982" s="330"/>
      <c r="I982" s="330"/>
      <c r="J982" s="330"/>
      <c r="K982" s="330"/>
      <c r="L982" s="330"/>
      <c r="M982" s="330"/>
      <c r="N982" s="330"/>
      <c r="O982" s="330"/>
      <c r="P982" s="330"/>
      <c r="Q982" s="330"/>
      <c r="R982" s="330"/>
      <c r="S982" s="330"/>
      <c r="T982" s="330"/>
      <c r="U982" s="331"/>
      <c r="V982" s="186"/>
      <c r="W982" s="186"/>
    </row>
    <row r="983" spans="1:23" ht="24.75" customHeight="1">
      <c r="A983" s="191"/>
      <c r="B983" s="191"/>
      <c r="C983" s="191"/>
      <c r="D983" s="192"/>
      <c r="E983" s="193"/>
      <c r="F983" s="194"/>
      <c r="G983" s="194"/>
      <c r="H983" s="195"/>
      <c r="I983" s="196"/>
      <c r="J983" s="197"/>
      <c r="K983" s="193"/>
      <c r="L983" s="198"/>
      <c r="M983" s="199"/>
      <c r="N983" s="194"/>
      <c r="O983" s="193"/>
      <c r="P983" s="193"/>
      <c r="Q983" s="200"/>
      <c r="R983" s="201"/>
      <c r="S983" s="201"/>
      <c r="T983" s="197"/>
      <c r="U983" s="201"/>
      <c r="V983" s="186"/>
      <c r="W983" s="186"/>
    </row>
    <row r="984" spans="1:23" ht="15.75">
      <c r="A984" s="191"/>
      <c r="B984" s="191"/>
      <c r="C984" s="191"/>
      <c r="D984" s="192"/>
      <c r="E984" s="329"/>
      <c r="F984" s="330"/>
      <c r="G984" s="330"/>
      <c r="H984" s="330"/>
      <c r="I984" s="330"/>
      <c r="J984" s="330"/>
      <c r="K984" s="330"/>
      <c r="L984" s="330"/>
      <c r="M984" s="330"/>
      <c r="N984" s="330"/>
      <c r="O984" s="330"/>
      <c r="P984" s="330"/>
      <c r="Q984" s="330"/>
      <c r="R984" s="330"/>
      <c r="S984" s="330"/>
      <c r="T984" s="330"/>
      <c r="U984" s="331"/>
      <c r="V984" s="186"/>
      <c r="W984" s="186"/>
    </row>
    <row r="985" spans="1:23">
      <c r="A985" s="191"/>
      <c r="B985" s="191"/>
      <c r="C985" s="191"/>
      <c r="D985" s="192"/>
      <c r="E985" s="193"/>
      <c r="F985" s="194"/>
      <c r="G985" s="194"/>
      <c r="H985" s="195"/>
      <c r="I985" s="196"/>
      <c r="J985" s="197"/>
      <c r="K985" s="193"/>
      <c r="L985" s="198"/>
      <c r="M985" s="199"/>
      <c r="N985" s="194"/>
      <c r="O985" s="193"/>
      <c r="P985" s="193"/>
      <c r="Q985" s="200"/>
      <c r="R985" s="201"/>
      <c r="S985" s="201"/>
      <c r="T985" s="197"/>
      <c r="U985" s="201"/>
      <c r="V985" s="186"/>
      <c r="W985" s="186"/>
    </row>
    <row r="986" spans="1:23" ht="15.75">
      <c r="A986" s="191"/>
      <c r="B986" s="191"/>
      <c r="C986" s="191"/>
      <c r="D986" s="192"/>
      <c r="E986" s="329"/>
      <c r="F986" s="330"/>
      <c r="G986" s="330"/>
      <c r="H986" s="330"/>
      <c r="I986" s="330"/>
      <c r="J986" s="330"/>
      <c r="K986" s="330"/>
      <c r="L986" s="330"/>
      <c r="M986" s="330"/>
      <c r="N986" s="330"/>
      <c r="O986" s="330"/>
      <c r="P986" s="330"/>
      <c r="Q986" s="330"/>
      <c r="R986" s="330"/>
      <c r="S986" s="330"/>
      <c r="T986" s="330"/>
      <c r="U986" s="331"/>
      <c r="V986" s="186"/>
      <c r="W986" s="186"/>
    </row>
    <row r="987" spans="1:23" ht="15.75">
      <c r="A987" s="191"/>
      <c r="B987" s="191"/>
      <c r="C987" s="191"/>
      <c r="D987" s="192"/>
      <c r="E987" s="329"/>
      <c r="F987" s="330"/>
      <c r="G987" s="330"/>
      <c r="H987" s="330"/>
      <c r="I987" s="330"/>
      <c r="J987" s="330"/>
      <c r="K987" s="330"/>
      <c r="L987" s="330"/>
      <c r="M987" s="330"/>
      <c r="N987" s="330"/>
      <c r="O987" s="330"/>
      <c r="P987" s="330"/>
      <c r="Q987" s="330"/>
      <c r="R987" s="330"/>
      <c r="S987" s="330"/>
      <c r="T987" s="330"/>
      <c r="U987" s="331"/>
      <c r="V987" s="186"/>
      <c r="W987" s="186"/>
    </row>
    <row r="988" spans="1:23" ht="15.75">
      <c r="A988" s="202"/>
      <c r="B988" s="332"/>
      <c r="C988" s="333"/>
      <c r="D988" s="334"/>
      <c r="E988" s="334"/>
      <c r="F988" s="334"/>
      <c r="G988" s="334"/>
      <c r="H988" s="334"/>
      <c r="I988" s="334"/>
      <c r="J988" s="334"/>
      <c r="K988" s="334"/>
      <c r="L988" s="334"/>
      <c r="M988" s="334"/>
      <c r="N988" s="334"/>
      <c r="O988" s="334"/>
      <c r="P988" s="334"/>
      <c r="Q988" s="334"/>
      <c r="R988" s="334"/>
      <c r="S988" s="334"/>
      <c r="T988" s="334"/>
      <c r="U988" s="335"/>
      <c r="V988" s="186"/>
      <c r="W988" s="52"/>
    </row>
    <row r="989" spans="1:23" ht="15.75">
      <c r="A989" s="191"/>
      <c r="B989" s="191"/>
      <c r="C989" s="191"/>
      <c r="D989" s="192"/>
      <c r="E989" s="329"/>
      <c r="F989" s="330"/>
      <c r="G989" s="330"/>
      <c r="H989" s="330"/>
      <c r="I989" s="330"/>
      <c r="J989" s="330"/>
      <c r="K989" s="330"/>
      <c r="L989" s="330"/>
      <c r="M989" s="330"/>
      <c r="N989" s="330"/>
      <c r="O989" s="330"/>
      <c r="P989" s="330"/>
      <c r="Q989" s="330"/>
      <c r="R989" s="330"/>
      <c r="S989" s="330"/>
      <c r="T989" s="330"/>
      <c r="U989" s="331"/>
      <c r="V989" s="186"/>
      <c r="W989" s="186"/>
    </row>
    <row r="990" spans="1:23" ht="15.75">
      <c r="A990" s="191"/>
      <c r="B990" s="191"/>
      <c r="C990" s="191"/>
      <c r="D990" s="192"/>
      <c r="E990" s="329"/>
      <c r="F990" s="330"/>
      <c r="G990" s="330"/>
      <c r="H990" s="330"/>
      <c r="I990" s="330"/>
      <c r="J990" s="330"/>
      <c r="K990" s="330"/>
      <c r="L990" s="330"/>
      <c r="M990" s="330"/>
      <c r="N990" s="330"/>
      <c r="O990" s="330"/>
      <c r="P990" s="330"/>
      <c r="Q990" s="330"/>
      <c r="R990" s="330"/>
      <c r="S990" s="330"/>
      <c r="T990" s="330"/>
      <c r="U990" s="331"/>
      <c r="V990" s="186"/>
      <c r="W990" s="186"/>
    </row>
    <row r="991" spans="1:23" ht="15.75">
      <c r="A991" s="191"/>
      <c r="B991" s="191"/>
      <c r="C991" s="191"/>
      <c r="D991" s="192"/>
      <c r="E991" s="329"/>
      <c r="F991" s="330"/>
      <c r="G991" s="330"/>
      <c r="H991" s="330"/>
      <c r="I991" s="330"/>
      <c r="J991" s="330"/>
      <c r="K991" s="330"/>
      <c r="L991" s="330"/>
      <c r="M991" s="330"/>
      <c r="N991" s="330"/>
      <c r="O991" s="330"/>
      <c r="P991" s="330"/>
      <c r="Q991" s="330"/>
      <c r="R991" s="330"/>
      <c r="S991" s="330"/>
      <c r="T991" s="330"/>
      <c r="U991" s="331"/>
      <c r="V991" s="186"/>
      <c r="W991" s="186"/>
    </row>
    <row r="992" spans="1:23" ht="15.75">
      <c r="A992" s="191"/>
      <c r="B992" s="191"/>
      <c r="C992" s="191"/>
      <c r="D992" s="192"/>
      <c r="E992" s="329"/>
      <c r="F992" s="330"/>
      <c r="G992" s="330"/>
      <c r="H992" s="330"/>
      <c r="I992" s="330"/>
      <c r="J992" s="330"/>
      <c r="K992" s="330"/>
      <c r="L992" s="330"/>
      <c r="M992" s="330"/>
      <c r="N992" s="330"/>
      <c r="O992" s="330"/>
      <c r="P992" s="330"/>
      <c r="Q992" s="330"/>
      <c r="R992" s="330"/>
      <c r="S992" s="330"/>
      <c r="T992" s="330"/>
      <c r="U992" s="331"/>
      <c r="V992" s="186"/>
      <c r="W992" s="186"/>
    </row>
    <row r="993" spans="1:23" ht="15.75">
      <c r="A993" s="191"/>
      <c r="B993" s="191"/>
      <c r="C993" s="191"/>
      <c r="D993" s="192"/>
      <c r="E993" s="329"/>
      <c r="F993" s="330"/>
      <c r="G993" s="330"/>
      <c r="H993" s="330"/>
      <c r="I993" s="330"/>
      <c r="J993" s="330"/>
      <c r="K993" s="330"/>
      <c r="L993" s="330"/>
      <c r="M993" s="330"/>
      <c r="N993" s="330"/>
      <c r="O993" s="330"/>
      <c r="P993" s="330"/>
      <c r="Q993" s="330"/>
      <c r="R993" s="330"/>
      <c r="S993" s="330"/>
      <c r="T993" s="330"/>
      <c r="U993" s="331"/>
      <c r="V993" s="186"/>
      <c r="W993" s="186"/>
    </row>
    <row r="994" spans="1:23">
      <c r="A994" s="191"/>
      <c r="B994" s="191"/>
      <c r="C994" s="191"/>
      <c r="D994" s="192"/>
      <c r="E994" s="193"/>
      <c r="F994" s="194"/>
      <c r="G994" s="194"/>
      <c r="H994" s="195"/>
      <c r="I994" s="196"/>
      <c r="J994" s="197"/>
      <c r="K994" s="193"/>
      <c r="L994" s="198"/>
      <c r="M994" s="199"/>
      <c r="N994" s="194"/>
      <c r="O994" s="193"/>
      <c r="P994" s="193"/>
      <c r="Q994" s="200"/>
      <c r="R994" s="201"/>
      <c r="S994" s="201"/>
      <c r="T994" s="197"/>
      <c r="U994" s="201"/>
      <c r="V994" s="186"/>
      <c r="W994" s="186"/>
    </row>
    <row r="995" spans="1:23" ht="15.75">
      <c r="A995" s="191"/>
      <c r="B995" s="191"/>
      <c r="C995" s="191"/>
      <c r="D995" s="192"/>
      <c r="E995" s="329"/>
      <c r="F995" s="330"/>
      <c r="G995" s="330"/>
      <c r="H995" s="330"/>
      <c r="I995" s="330"/>
      <c r="J995" s="330"/>
      <c r="K995" s="330"/>
      <c r="L995" s="330"/>
      <c r="M995" s="330"/>
      <c r="N995" s="330"/>
      <c r="O995" s="330"/>
      <c r="P995" s="330"/>
      <c r="Q995" s="330"/>
      <c r="R995" s="330"/>
      <c r="S995" s="330"/>
      <c r="T995" s="330"/>
      <c r="U995" s="331"/>
      <c r="V995" s="186"/>
      <c r="W995" s="186"/>
    </row>
    <row r="996" spans="1:23" ht="15.75">
      <c r="A996" s="191"/>
      <c r="B996" s="191"/>
      <c r="C996" s="191"/>
      <c r="D996" s="192"/>
      <c r="E996" s="329"/>
      <c r="F996" s="330"/>
      <c r="G996" s="330"/>
      <c r="H996" s="330"/>
      <c r="I996" s="330"/>
      <c r="J996" s="330"/>
      <c r="K996" s="330"/>
      <c r="L996" s="330"/>
      <c r="M996" s="330"/>
      <c r="N996" s="330"/>
      <c r="O996" s="330"/>
      <c r="P996" s="330"/>
      <c r="Q996" s="330"/>
      <c r="R996" s="330"/>
      <c r="S996" s="330"/>
      <c r="T996" s="330"/>
      <c r="U996" s="331"/>
      <c r="V996" s="186"/>
      <c r="W996" s="186"/>
    </row>
    <row r="997" spans="1:23">
      <c r="A997" s="191"/>
      <c r="B997" s="191"/>
      <c r="C997" s="191"/>
      <c r="D997" s="192"/>
      <c r="E997" s="193"/>
      <c r="F997" s="194"/>
      <c r="G997" s="194"/>
      <c r="H997" s="195"/>
      <c r="I997" s="196"/>
      <c r="J997" s="197"/>
      <c r="K997" s="193"/>
      <c r="L997" s="198"/>
      <c r="M997" s="199"/>
      <c r="N997" s="194"/>
      <c r="O997" s="193"/>
      <c r="P997" s="193"/>
      <c r="Q997" s="200"/>
      <c r="R997" s="201"/>
      <c r="S997" s="201"/>
      <c r="T997" s="197"/>
      <c r="U997" s="201"/>
      <c r="V997" s="186"/>
      <c r="W997" s="186"/>
    </row>
    <row r="998" spans="1:23" ht="15.75">
      <c r="A998" s="191"/>
      <c r="B998" s="191"/>
      <c r="C998" s="191"/>
      <c r="D998" s="192"/>
      <c r="E998" s="329"/>
      <c r="F998" s="330"/>
      <c r="G998" s="330"/>
      <c r="H998" s="330"/>
      <c r="I998" s="330"/>
      <c r="J998" s="330"/>
      <c r="K998" s="330"/>
      <c r="L998" s="330"/>
      <c r="M998" s="330"/>
      <c r="N998" s="330"/>
      <c r="O998" s="330"/>
      <c r="P998" s="330"/>
      <c r="Q998" s="330"/>
      <c r="R998" s="330"/>
      <c r="S998" s="330"/>
      <c r="T998" s="330"/>
      <c r="U998" s="331"/>
      <c r="V998" s="186"/>
      <c r="W998" s="186"/>
    </row>
    <row r="999" spans="1:23" ht="15.75">
      <c r="A999" s="191"/>
      <c r="B999" s="191"/>
      <c r="C999" s="191"/>
      <c r="D999" s="192"/>
      <c r="E999" s="329"/>
      <c r="F999" s="330"/>
      <c r="G999" s="330"/>
      <c r="H999" s="330"/>
      <c r="I999" s="330"/>
      <c r="J999" s="330"/>
      <c r="K999" s="330"/>
      <c r="L999" s="330"/>
      <c r="M999" s="330"/>
      <c r="N999" s="330"/>
      <c r="O999" s="330"/>
      <c r="P999" s="330"/>
      <c r="Q999" s="330"/>
      <c r="R999" s="330"/>
      <c r="S999" s="330"/>
      <c r="T999" s="330"/>
      <c r="U999" s="331"/>
      <c r="V999" s="186"/>
      <c r="W999" s="186"/>
    </row>
    <row r="1000" spans="1:23" ht="15.75">
      <c r="A1000" s="191"/>
      <c r="B1000" s="191"/>
      <c r="C1000" s="191"/>
      <c r="D1000" s="192"/>
      <c r="E1000" s="329"/>
      <c r="F1000" s="330"/>
      <c r="G1000" s="330"/>
      <c r="H1000" s="330"/>
      <c r="I1000" s="330"/>
      <c r="J1000" s="330"/>
      <c r="K1000" s="330"/>
      <c r="L1000" s="330"/>
      <c r="M1000" s="330"/>
      <c r="N1000" s="330"/>
      <c r="O1000" s="330"/>
      <c r="P1000" s="330"/>
      <c r="Q1000" s="330"/>
      <c r="R1000" s="330"/>
      <c r="S1000" s="330"/>
      <c r="T1000" s="330"/>
      <c r="U1000" s="331"/>
      <c r="V1000" s="186"/>
      <c r="W1000" s="186"/>
    </row>
    <row r="1001" spans="1:23" ht="15.75">
      <c r="A1001" s="191"/>
      <c r="B1001" s="191"/>
      <c r="C1001" s="191"/>
      <c r="D1001" s="192"/>
      <c r="E1001" s="329"/>
      <c r="F1001" s="330"/>
      <c r="G1001" s="330"/>
      <c r="H1001" s="330"/>
      <c r="I1001" s="330"/>
      <c r="J1001" s="330"/>
      <c r="K1001" s="330"/>
      <c r="L1001" s="330"/>
      <c r="M1001" s="330"/>
      <c r="N1001" s="330"/>
      <c r="O1001" s="330"/>
      <c r="P1001" s="330"/>
      <c r="Q1001" s="330"/>
      <c r="R1001" s="330"/>
      <c r="S1001" s="330"/>
      <c r="T1001" s="330"/>
      <c r="U1001" s="331"/>
      <c r="V1001" s="186"/>
      <c r="W1001" s="186"/>
    </row>
    <row r="1002" spans="1:23" ht="15.75">
      <c r="A1002" s="191"/>
      <c r="B1002" s="191"/>
      <c r="C1002" s="191"/>
      <c r="D1002" s="192"/>
      <c r="E1002" s="329"/>
      <c r="F1002" s="330"/>
      <c r="G1002" s="330"/>
      <c r="H1002" s="330"/>
      <c r="I1002" s="330"/>
      <c r="J1002" s="330"/>
      <c r="K1002" s="330"/>
      <c r="L1002" s="330"/>
      <c r="M1002" s="330"/>
      <c r="N1002" s="330"/>
      <c r="O1002" s="330"/>
      <c r="P1002" s="330"/>
      <c r="Q1002" s="330"/>
      <c r="R1002" s="330"/>
      <c r="S1002" s="330"/>
      <c r="T1002" s="330"/>
      <c r="U1002" s="331"/>
      <c r="V1002" s="186"/>
      <c r="W1002" s="186"/>
    </row>
    <row r="1003" spans="1:23" ht="15.75">
      <c r="A1003" s="191"/>
      <c r="B1003" s="191"/>
      <c r="C1003" s="191"/>
      <c r="D1003" s="192"/>
      <c r="E1003" s="329"/>
      <c r="F1003" s="330"/>
      <c r="G1003" s="330"/>
      <c r="H1003" s="330"/>
      <c r="I1003" s="330"/>
      <c r="J1003" s="330"/>
      <c r="K1003" s="330"/>
      <c r="L1003" s="330"/>
      <c r="M1003" s="330"/>
      <c r="N1003" s="330"/>
      <c r="O1003" s="330"/>
      <c r="P1003" s="330"/>
      <c r="Q1003" s="330"/>
      <c r="R1003" s="330"/>
      <c r="S1003" s="330"/>
      <c r="T1003" s="330"/>
      <c r="U1003" s="331"/>
      <c r="V1003" s="186"/>
      <c r="W1003" s="186"/>
    </row>
    <row r="1004" spans="1:23" ht="15.75">
      <c r="A1004" s="191"/>
      <c r="B1004" s="191"/>
      <c r="C1004" s="191"/>
      <c r="D1004" s="192"/>
      <c r="E1004" s="329"/>
      <c r="F1004" s="330"/>
      <c r="G1004" s="330"/>
      <c r="H1004" s="330"/>
      <c r="I1004" s="330"/>
      <c r="J1004" s="330"/>
      <c r="K1004" s="330"/>
      <c r="L1004" s="330"/>
      <c r="M1004" s="330"/>
      <c r="N1004" s="330"/>
      <c r="O1004" s="330"/>
      <c r="P1004" s="330"/>
      <c r="Q1004" s="330"/>
      <c r="R1004" s="330"/>
      <c r="S1004" s="330"/>
      <c r="T1004" s="330"/>
      <c r="U1004" s="331"/>
      <c r="V1004" s="186"/>
      <c r="W1004" s="186"/>
    </row>
    <row r="1005" spans="1:23">
      <c r="A1005" s="191"/>
      <c r="B1005" s="191"/>
      <c r="C1005" s="191"/>
      <c r="D1005" s="192"/>
      <c r="E1005" s="193"/>
      <c r="F1005" s="194"/>
      <c r="G1005" s="194"/>
      <c r="H1005" s="195"/>
      <c r="I1005" s="196"/>
      <c r="J1005" s="197"/>
      <c r="K1005" s="193"/>
      <c r="L1005" s="198"/>
      <c r="M1005" s="199"/>
      <c r="N1005" s="194"/>
      <c r="O1005" s="193"/>
      <c r="P1005" s="193"/>
      <c r="Q1005" s="200"/>
      <c r="R1005" s="201"/>
      <c r="S1005" s="201"/>
      <c r="T1005" s="197"/>
      <c r="U1005" s="201"/>
      <c r="V1005" s="186"/>
      <c r="W1005" s="186"/>
    </row>
    <row r="1006" spans="1:23" ht="15.75">
      <c r="A1006" s="191"/>
      <c r="B1006" s="191"/>
      <c r="C1006" s="191"/>
      <c r="D1006" s="192"/>
      <c r="E1006" s="329"/>
      <c r="F1006" s="330"/>
      <c r="G1006" s="330"/>
      <c r="H1006" s="330"/>
      <c r="I1006" s="330"/>
      <c r="J1006" s="330"/>
      <c r="K1006" s="330"/>
      <c r="L1006" s="330"/>
      <c r="M1006" s="330"/>
      <c r="N1006" s="330"/>
      <c r="O1006" s="330"/>
      <c r="P1006" s="330"/>
      <c r="Q1006" s="330"/>
      <c r="R1006" s="330"/>
      <c r="S1006" s="330"/>
      <c r="T1006" s="330"/>
      <c r="U1006" s="331"/>
      <c r="V1006" s="186"/>
      <c r="W1006" s="186"/>
    </row>
    <row r="1007" spans="1:23">
      <c r="A1007" s="191"/>
      <c r="B1007" s="191"/>
      <c r="C1007" s="191"/>
      <c r="D1007" s="192"/>
      <c r="E1007" s="193"/>
      <c r="F1007" s="194"/>
      <c r="G1007" s="194"/>
      <c r="H1007" s="195"/>
      <c r="I1007" s="196"/>
      <c r="J1007" s="197"/>
      <c r="K1007" s="193"/>
      <c r="L1007" s="198"/>
      <c r="M1007" s="199"/>
      <c r="N1007" s="194"/>
      <c r="O1007" s="193"/>
      <c r="P1007" s="193"/>
      <c r="Q1007" s="200"/>
      <c r="R1007" s="201"/>
      <c r="S1007" s="201"/>
      <c r="T1007" s="197"/>
      <c r="U1007" s="201"/>
      <c r="V1007" s="186"/>
      <c r="W1007" s="186"/>
    </row>
    <row r="1008" spans="1:23" ht="15.75">
      <c r="A1008" s="191"/>
      <c r="B1008" s="191"/>
      <c r="C1008" s="191"/>
      <c r="D1008" s="192"/>
      <c r="E1008" s="329"/>
      <c r="F1008" s="330"/>
      <c r="G1008" s="330"/>
      <c r="H1008" s="330"/>
      <c r="I1008" s="330"/>
      <c r="J1008" s="330"/>
      <c r="K1008" s="330"/>
      <c r="L1008" s="330"/>
      <c r="M1008" s="330"/>
      <c r="N1008" s="330"/>
      <c r="O1008" s="330"/>
      <c r="P1008" s="330"/>
      <c r="Q1008" s="330"/>
      <c r="R1008" s="330"/>
      <c r="S1008" s="330"/>
      <c r="T1008" s="330"/>
      <c r="U1008" s="331"/>
      <c r="V1008" s="186"/>
      <c r="W1008" s="186"/>
    </row>
    <row r="1009" spans="1:23">
      <c r="A1009" s="191"/>
      <c r="B1009" s="191"/>
      <c r="C1009" s="191"/>
      <c r="D1009" s="192"/>
      <c r="E1009" s="193"/>
      <c r="F1009" s="194"/>
      <c r="G1009" s="194"/>
      <c r="H1009" s="195"/>
      <c r="I1009" s="196"/>
      <c r="J1009" s="197"/>
      <c r="K1009" s="193"/>
      <c r="L1009" s="198"/>
      <c r="M1009" s="199"/>
      <c r="N1009" s="194"/>
      <c r="O1009" s="193"/>
      <c r="P1009" s="193"/>
      <c r="Q1009" s="200"/>
      <c r="R1009" s="201"/>
      <c r="S1009" s="201"/>
      <c r="T1009" s="197"/>
      <c r="U1009" s="201"/>
      <c r="V1009" s="186"/>
      <c r="W1009" s="186"/>
    </row>
    <row r="1010" spans="1:23" ht="15.75">
      <c r="A1010" s="191"/>
      <c r="B1010" s="191"/>
      <c r="C1010" s="191"/>
      <c r="D1010" s="192"/>
      <c r="E1010" s="329"/>
      <c r="F1010" s="330"/>
      <c r="G1010" s="330"/>
      <c r="H1010" s="330"/>
      <c r="I1010" s="330"/>
      <c r="J1010" s="330"/>
      <c r="K1010" s="330"/>
      <c r="L1010" s="330"/>
      <c r="M1010" s="330"/>
      <c r="N1010" s="330"/>
      <c r="O1010" s="330"/>
      <c r="P1010" s="330"/>
      <c r="Q1010" s="330"/>
      <c r="R1010" s="330"/>
      <c r="S1010" s="330"/>
      <c r="T1010" s="330"/>
      <c r="U1010" s="331"/>
      <c r="V1010" s="186"/>
      <c r="W1010" s="186"/>
    </row>
    <row r="1011" spans="1:23">
      <c r="A1011" s="191"/>
      <c r="B1011" s="191"/>
      <c r="C1011" s="191"/>
      <c r="D1011" s="192"/>
      <c r="E1011" s="193"/>
      <c r="F1011" s="194"/>
      <c r="G1011" s="194"/>
      <c r="H1011" s="195"/>
      <c r="I1011" s="196"/>
      <c r="J1011" s="197"/>
      <c r="K1011" s="193"/>
      <c r="L1011" s="198"/>
      <c r="M1011" s="199"/>
      <c r="N1011" s="194"/>
      <c r="O1011" s="193"/>
      <c r="P1011" s="193"/>
      <c r="Q1011" s="200"/>
      <c r="R1011" s="201"/>
      <c r="S1011" s="201"/>
      <c r="T1011" s="197"/>
      <c r="U1011" s="201"/>
      <c r="V1011" s="186"/>
      <c r="W1011" s="186"/>
    </row>
    <row r="1012" spans="1:23" ht="15.75">
      <c r="A1012" s="191"/>
      <c r="B1012" s="191"/>
      <c r="C1012" s="191"/>
      <c r="D1012" s="192"/>
      <c r="E1012" s="329"/>
      <c r="F1012" s="330"/>
      <c r="G1012" s="330"/>
      <c r="H1012" s="330"/>
      <c r="I1012" s="330"/>
      <c r="J1012" s="330"/>
      <c r="K1012" s="330"/>
      <c r="L1012" s="330"/>
      <c r="M1012" s="330"/>
      <c r="N1012" s="330"/>
      <c r="O1012" s="330"/>
      <c r="P1012" s="330"/>
      <c r="Q1012" s="330"/>
      <c r="R1012" s="330"/>
      <c r="S1012" s="330"/>
      <c r="T1012" s="330"/>
      <c r="U1012" s="331"/>
      <c r="V1012" s="186"/>
      <c r="W1012" s="186"/>
    </row>
    <row r="1013" spans="1:23" ht="15.75">
      <c r="A1013" s="202"/>
      <c r="B1013" s="332"/>
      <c r="C1013" s="333"/>
      <c r="D1013" s="334"/>
      <c r="E1013" s="334"/>
      <c r="F1013" s="334"/>
      <c r="G1013" s="334"/>
      <c r="H1013" s="334"/>
      <c r="I1013" s="334"/>
      <c r="J1013" s="334"/>
      <c r="K1013" s="334"/>
      <c r="L1013" s="334"/>
      <c r="M1013" s="334"/>
      <c r="N1013" s="334"/>
      <c r="O1013" s="334"/>
      <c r="P1013" s="334"/>
      <c r="Q1013" s="334"/>
      <c r="R1013" s="334"/>
      <c r="S1013" s="334"/>
      <c r="T1013" s="334"/>
      <c r="U1013" s="335"/>
      <c r="V1013" s="186"/>
      <c r="W1013" s="52"/>
    </row>
    <row r="1014" spans="1:23" ht="15.75">
      <c r="A1014" s="191"/>
      <c r="B1014" s="191"/>
      <c r="C1014" s="191"/>
      <c r="D1014" s="192"/>
      <c r="E1014" s="329"/>
      <c r="F1014" s="330"/>
      <c r="G1014" s="330"/>
      <c r="H1014" s="330"/>
      <c r="I1014" s="330"/>
      <c r="J1014" s="330"/>
      <c r="K1014" s="330"/>
      <c r="L1014" s="330"/>
      <c r="M1014" s="330"/>
      <c r="N1014" s="330"/>
      <c r="O1014" s="330"/>
      <c r="P1014" s="330"/>
      <c r="Q1014" s="330"/>
      <c r="R1014" s="330"/>
      <c r="S1014" s="330"/>
      <c r="T1014" s="330"/>
      <c r="U1014" s="331"/>
      <c r="V1014" s="186"/>
      <c r="W1014" s="186"/>
    </row>
    <row r="1015" spans="1:23" ht="15.75">
      <c r="A1015" s="191"/>
      <c r="B1015" s="191"/>
      <c r="C1015" s="191"/>
      <c r="D1015" s="192"/>
      <c r="E1015" s="329"/>
      <c r="F1015" s="330"/>
      <c r="G1015" s="330"/>
      <c r="H1015" s="330"/>
      <c r="I1015" s="330"/>
      <c r="J1015" s="330"/>
      <c r="K1015" s="330"/>
      <c r="L1015" s="330"/>
      <c r="M1015" s="330"/>
      <c r="N1015" s="330"/>
      <c r="O1015" s="330"/>
      <c r="P1015" s="330"/>
      <c r="Q1015" s="330"/>
      <c r="R1015" s="330"/>
      <c r="S1015" s="330"/>
      <c r="T1015" s="330"/>
      <c r="U1015" s="331"/>
      <c r="V1015" s="186"/>
      <c r="W1015" s="186"/>
    </row>
    <row r="1016" spans="1:23">
      <c r="A1016" s="191"/>
      <c r="B1016" s="191"/>
      <c r="C1016" s="191"/>
      <c r="D1016" s="192"/>
      <c r="E1016" s="193"/>
      <c r="F1016" s="194"/>
      <c r="G1016" s="194"/>
      <c r="H1016" s="195"/>
      <c r="I1016" s="196"/>
      <c r="J1016" s="197"/>
      <c r="K1016" s="193"/>
      <c r="L1016" s="198"/>
      <c r="M1016" s="199"/>
      <c r="N1016" s="194"/>
      <c r="O1016" s="193"/>
      <c r="P1016" s="193"/>
      <c r="Q1016" s="200"/>
      <c r="R1016" s="201"/>
      <c r="S1016" s="201"/>
      <c r="T1016" s="197"/>
      <c r="U1016" s="201"/>
      <c r="V1016" s="186"/>
      <c r="W1016" s="186"/>
    </row>
    <row r="1017" spans="1:23" ht="15.75">
      <c r="A1017" s="191"/>
      <c r="B1017" s="191"/>
      <c r="C1017" s="191"/>
      <c r="D1017" s="192"/>
      <c r="E1017" s="329"/>
      <c r="F1017" s="330"/>
      <c r="G1017" s="330"/>
      <c r="H1017" s="330"/>
      <c r="I1017" s="330"/>
      <c r="J1017" s="330"/>
      <c r="K1017" s="330"/>
      <c r="L1017" s="330"/>
      <c r="M1017" s="330"/>
      <c r="N1017" s="330"/>
      <c r="O1017" s="330"/>
      <c r="P1017" s="330"/>
      <c r="Q1017" s="330"/>
      <c r="R1017" s="330"/>
      <c r="S1017" s="330"/>
      <c r="T1017" s="330"/>
      <c r="U1017" s="331"/>
      <c r="V1017" s="186"/>
      <c r="W1017" s="186"/>
    </row>
    <row r="1018" spans="1:23" ht="15.75">
      <c r="A1018" s="191"/>
      <c r="B1018" s="191"/>
      <c r="C1018" s="191"/>
      <c r="D1018" s="192"/>
      <c r="E1018" s="329"/>
      <c r="F1018" s="330"/>
      <c r="G1018" s="330"/>
      <c r="H1018" s="330"/>
      <c r="I1018" s="330"/>
      <c r="J1018" s="330"/>
      <c r="K1018" s="330"/>
      <c r="L1018" s="330"/>
      <c r="M1018" s="330"/>
      <c r="N1018" s="330"/>
      <c r="O1018" s="330"/>
      <c r="P1018" s="330"/>
      <c r="Q1018" s="330"/>
      <c r="R1018" s="330"/>
      <c r="S1018" s="330"/>
      <c r="T1018" s="330"/>
      <c r="U1018" s="331"/>
      <c r="V1018" s="186"/>
      <c r="W1018" s="186"/>
    </row>
    <row r="1019" spans="1:23">
      <c r="A1019" s="191"/>
      <c r="B1019" s="191"/>
      <c r="C1019" s="191"/>
      <c r="D1019" s="192"/>
      <c r="E1019" s="193"/>
      <c r="F1019" s="194"/>
      <c r="G1019" s="194"/>
      <c r="H1019" s="195"/>
      <c r="I1019" s="196"/>
      <c r="J1019" s="197"/>
      <c r="K1019" s="193"/>
      <c r="L1019" s="198"/>
      <c r="M1019" s="199"/>
      <c r="N1019" s="194"/>
      <c r="O1019" s="193"/>
      <c r="P1019" s="193"/>
      <c r="Q1019" s="200"/>
      <c r="R1019" s="201"/>
      <c r="S1019" s="201"/>
      <c r="T1019" s="197"/>
      <c r="U1019" s="201"/>
      <c r="V1019" s="186"/>
      <c r="W1019" s="186"/>
    </row>
    <row r="1020" spans="1:23" ht="15.75">
      <c r="A1020" s="191"/>
      <c r="B1020" s="191"/>
      <c r="C1020" s="191"/>
      <c r="D1020" s="192"/>
      <c r="E1020" s="329"/>
      <c r="F1020" s="330"/>
      <c r="G1020" s="330"/>
      <c r="H1020" s="330"/>
      <c r="I1020" s="330"/>
      <c r="J1020" s="330"/>
      <c r="K1020" s="330"/>
      <c r="L1020" s="330"/>
      <c r="M1020" s="330"/>
      <c r="N1020" s="330"/>
      <c r="O1020" s="330"/>
      <c r="P1020" s="330"/>
      <c r="Q1020" s="330"/>
      <c r="R1020" s="330"/>
      <c r="S1020" s="330"/>
      <c r="T1020" s="330"/>
      <c r="U1020" s="331"/>
      <c r="V1020" s="186"/>
      <c r="W1020" s="186"/>
    </row>
    <row r="1021" spans="1:23" ht="15.75">
      <c r="A1021" s="191"/>
      <c r="B1021" s="191"/>
      <c r="C1021" s="191"/>
      <c r="D1021" s="192"/>
      <c r="E1021" s="329"/>
      <c r="F1021" s="330"/>
      <c r="G1021" s="330"/>
      <c r="H1021" s="330"/>
      <c r="I1021" s="330"/>
      <c r="J1021" s="330"/>
      <c r="K1021" s="330"/>
      <c r="L1021" s="330"/>
      <c r="M1021" s="330"/>
      <c r="N1021" s="330"/>
      <c r="O1021" s="330"/>
      <c r="P1021" s="330"/>
      <c r="Q1021" s="330"/>
      <c r="R1021" s="330"/>
      <c r="S1021" s="330"/>
      <c r="T1021" s="330"/>
      <c r="U1021" s="331"/>
      <c r="V1021" s="186"/>
      <c r="W1021" s="186"/>
    </row>
    <row r="1022" spans="1:23">
      <c r="A1022" s="191"/>
      <c r="B1022" s="191"/>
      <c r="C1022" s="191"/>
      <c r="D1022" s="192"/>
      <c r="E1022" s="193"/>
      <c r="F1022" s="194"/>
      <c r="G1022" s="194"/>
      <c r="H1022" s="195"/>
      <c r="I1022" s="196"/>
      <c r="J1022" s="197"/>
      <c r="K1022" s="193"/>
      <c r="L1022" s="198"/>
      <c r="M1022" s="199"/>
      <c r="N1022" s="194"/>
      <c r="O1022" s="193"/>
      <c r="P1022" s="193"/>
      <c r="Q1022" s="200"/>
      <c r="R1022" s="201"/>
      <c r="S1022" s="201"/>
      <c r="T1022" s="197"/>
      <c r="U1022" s="201"/>
      <c r="V1022" s="186"/>
      <c r="W1022" s="186"/>
    </row>
    <row r="1023" spans="1:23" ht="15.75">
      <c r="A1023" s="191"/>
      <c r="B1023" s="191"/>
      <c r="C1023" s="191"/>
      <c r="D1023" s="192"/>
      <c r="E1023" s="329"/>
      <c r="F1023" s="330"/>
      <c r="G1023" s="330"/>
      <c r="H1023" s="330"/>
      <c r="I1023" s="330"/>
      <c r="J1023" s="330"/>
      <c r="K1023" s="330"/>
      <c r="L1023" s="330"/>
      <c r="M1023" s="330"/>
      <c r="N1023" s="330"/>
      <c r="O1023" s="330"/>
      <c r="P1023" s="330"/>
      <c r="Q1023" s="330"/>
      <c r="R1023" s="330"/>
      <c r="S1023" s="330"/>
      <c r="T1023" s="330"/>
      <c r="U1023" s="331"/>
      <c r="V1023" s="186"/>
      <c r="W1023" s="186"/>
    </row>
    <row r="1024" spans="1:23" ht="15.75">
      <c r="A1024" s="191"/>
      <c r="B1024" s="191"/>
      <c r="C1024" s="191"/>
      <c r="D1024" s="192"/>
      <c r="E1024" s="329"/>
      <c r="F1024" s="330"/>
      <c r="G1024" s="330"/>
      <c r="H1024" s="330"/>
      <c r="I1024" s="330"/>
      <c r="J1024" s="330"/>
      <c r="K1024" s="330"/>
      <c r="L1024" s="330"/>
      <c r="M1024" s="330"/>
      <c r="N1024" s="330"/>
      <c r="O1024" s="330"/>
      <c r="P1024" s="330"/>
      <c r="Q1024" s="330"/>
      <c r="R1024" s="330"/>
      <c r="S1024" s="330"/>
      <c r="T1024" s="330"/>
      <c r="U1024" s="331"/>
      <c r="V1024" s="186"/>
      <c r="W1024" s="186"/>
    </row>
    <row r="1025" spans="1:23">
      <c r="A1025" s="191"/>
      <c r="B1025" s="191"/>
      <c r="C1025" s="191"/>
      <c r="D1025" s="192"/>
      <c r="E1025" s="193"/>
      <c r="F1025" s="194"/>
      <c r="G1025" s="194"/>
      <c r="H1025" s="195"/>
      <c r="I1025" s="196"/>
      <c r="J1025" s="197"/>
      <c r="K1025" s="193"/>
      <c r="L1025" s="198"/>
      <c r="M1025" s="199"/>
      <c r="N1025" s="194"/>
      <c r="O1025" s="193"/>
      <c r="P1025" s="193"/>
      <c r="Q1025" s="200"/>
      <c r="R1025" s="201"/>
      <c r="S1025" s="201"/>
      <c r="T1025" s="197"/>
      <c r="U1025" s="201"/>
      <c r="V1025" s="186"/>
      <c r="W1025" s="186"/>
    </row>
    <row r="1026" spans="1:23" ht="15.75">
      <c r="A1026" s="191"/>
      <c r="B1026" s="191"/>
      <c r="C1026" s="191"/>
      <c r="D1026" s="192"/>
      <c r="E1026" s="329"/>
      <c r="F1026" s="330"/>
      <c r="G1026" s="330"/>
      <c r="H1026" s="330"/>
      <c r="I1026" s="330"/>
      <c r="J1026" s="330"/>
      <c r="K1026" s="330"/>
      <c r="L1026" s="330"/>
      <c r="M1026" s="330"/>
      <c r="N1026" s="330"/>
      <c r="O1026" s="330"/>
      <c r="P1026" s="330"/>
      <c r="Q1026" s="330"/>
      <c r="R1026" s="330"/>
      <c r="S1026" s="330"/>
      <c r="T1026" s="330"/>
      <c r="U1026" s="331"/>
      <c r="V1026" s="186"/>
      <c r="W1026" s="186"/>
    </row>
    <row r="1027" spans="1:23" ht="15.75">
      <c r="A1027" s="191"/>
      <c r="B1027" s="191"/>
      <c r="C1027" s="191"/>
      <c r="D1027" s="192"/>
      <c r="E1027" s="329"/>
      <c r="F1027" s="330"/>
      <c r="G1027" s="330"/>
      <c r="H1027" s="330"/>
      <c r="I1027" s="330"/>
      <c r="J1027" s="330"/>
      <c r="K1027" s="330"/>
      <c r="L1027" s="330"/>
      <c r="M1027" s="330"/>
      <c r="N1027" s="330"/>
      <c r="O1027" s="330"/>
      <c r="P1027" s="330"/>
      <c r="Q1027" s="330"/>
      <c r="R1027" s="330"/>
      <c r="S1027" s="330"/>
      <c r="T1027" s="330"/>
      <c r="U1027" s="331"/>
      <c r="V1027" s="186"/>
      <c r="W1027" s="186"/>
    </row>
    <row r="1028" spans="1:23" ht="15.75">
      <c r="A1028" s="191"/>
      <c r="B1028" s="191"/>
      <c r="C1028" s="191"/>
      <c r="D1028" s="192"/>
      <c r="E1028" s="329"/>
      <c r="F1028" s="330"/>
      <c r="G1028" s="330"/>
      <c r="H1028" s="330"/>
      <c r="I1028" s="330"/>
      <c r="J1028" s="330"/>
      <c r="K1028" s="330"/>
      <c r="L1028" s="330"/>
      <c r="M1028" s="330"/>
      <c r="N1028" s="330"/>
      <c r="O1028" s="330"/>
      <c r="P1028" s="330"/>
      <c r="Q1028" s="330"/>
      <c r="R1028" s="330"/>
      <c r="S1028" s="330"/>
      <c r="T1028" s="330"/>
      <c r="U1028" s="331"/>
      <c r="V1028" s="186"/>
      <c r="W1028" s="186"/>
    </row>
    <row r="1029" spans="1:23" ht="15.75">
      <c r="A1029" s="191"/>
      <c r="B1029" s="191"/>
      <c r="C1029" s="191"/>
      <c r="D1029" s="192"/>
      <c r="E1029" s="329"/>
      <c r="F1029" s="330"/>
      <c r="G1029" s="330"/>
      <c r="H1029" s="330"/>
      <c r="I1029" s="330"/>
      <c r="J1029" s="330"/>
      <c r="K1029" s="330"/>
      <c r="L1029" s="330"/>
      <c r="M1029" s="330"/>
      <c r="N1029" s="330"/>
      <c r="O1029" s="330"/>
      <c r="P1029" s="330"/>
      <c r="Q1029" s="330"/>
      <c r="R1029" s="330"/>
      <c r="S1029" s="330"/>
      <c r="T1029" s="330"/>
      <c r="U1029" s="331"/>
      <c r="V1029" s="186"/>
      <c r="W1029" s="186"/>
    </row>
    <row r="1030" spans="1:23" ht="15.75">
      <c r="A1030" s="191"/>
      <c r="B1030" s="191"/>
      <c r="C1030" s="191"/>
      <c r="D1030" s="192"/>
      <c r="E1030" s="329"/>
      <c r="F1030" s="330"/>
      <c r="G1030" s="330"/>
      <c r="H1030" s="330"/>
      <c r="I1030" s="330"/>
      <c r="J1030" s="330"/>
      <c r="K1030" s="330"/>
      <c r="L1030" s="330"/>
      <c r="M1030" s="330"/>
      <c r="N1030" s="330"/>
      <c r="O1030" s="330"/>
      <c r="P1030" s="330"/>
      <c r="Q1030" s="330"/>
      <c r="R1030" s="330"/>
      <c r="S1030" s="330"/>
      <c r="T1030" s="330"/>
      <c r="U1030" s="331"/>
      <c r="V1030" s="186"/>
      <c r="W1030" s="186"/>
    </row>
    <row r="1031" spans="1:23" ht="15.75">
      <c r="A1031" s="202"/>
      <c r="B1031" s="332"/>
      <c r="C1031" s="333"/>
      <c r="D1031" s="334"/>
      <c r="E1031" s="334"/>
      <c r="F1031" s="334"/>
      <c r="G1031" s="334"/>
      <c r="H1031" s="334"/>
      <c r="I1031" s="334"/>
      <c r="J1031" s="334"/>
      <c r="K1031" s="334"/>
      <c r="L1031" s="334"/>
      <c r="M1031" s="334"/>
      <c r="N1031" s="334"/>
      <c r="O1031" s="334"/>
      <c r="P1031" s="334"/>
      <c r="Q1031" s="334"/>
      <c r="R1031" s="334"/>
      <c r="S1031" s="334"/>
      <c r="T1031" s="334"/>
      <c r="U1031" s="335"/>
      <c r="V1031" s="186"/>
      <c r="W1031" s="52"/>
    </row>
    <row r="1032" spans="1:23" ht="15.75">
      <c r="A1032" s="191"/>
      <c r="B1032" s="191"/>
      <c r="C1032" s="191"/>
      <c r="D1032" s="192"/>
      <c r="E1032" s="329"/>
      <c r="F1032" s="330"/>
      <c r="G1032" s="330"/>
      <c r="H1032" s="330"/>
      <c r="I1032" s="330"/>
      <c r="J1032" s="330"/>
      <c r="K1032" s="330"/>
      <c r="L1032" s="330"/>
      <c r="M1032" s="330"/>
      <c r="N1032" s="330"/>
      <c r="O1032" s="330"/>
      <c r="P1032" s="330"/>
      <c r="Q1032" s="330"/>
      <c r="R1032" s="330"/>
      <c r="S1032" s="330"/>
      <c r="T1032" s="330"/>
      <c r="U1032" s="331"/>
      <c r="V1032" s="186"/>
      <c r="W1032" s="186"/>
    </row>
    <row r="1033" spans="1:23" ht="15.75">
      <c r="A1033" s="191"/>
      <c r="B1033" s="191"/>
      <c r="C1033" s="191"/>
      <c r="D1033" s="192"/>
      <c r="E1033" s="329"/>
      <c r="F1033" s="330"/>
      <c r="G1033" s="330"/>
      <c r="H1033" s="330"/>
      <c r="I1033" s="330"/>
      <c r="J1033" s="330"/>
      <c r="K1033" s="330"/>
      <c r="L1033" s="330"/>
      <c r="M1033" s="330"/>
      <c r="N1033" s="330"/>
      <c r="O1033" s="330"/>
      <c r="P1033" s="330"/>
      <c r="Q1033" s="330"/>
      <c r="R1033" s="330"/>
      <c r="S1033" s="330"/>
      <c r="T1033" s="330"/>
      <c r="U1033" s="331"/>
      <c r="V1033" s="186"/>
      <c r="W1033" s="186"/>
    </row>
    <row r="1034" spans="1:23">
      <c r="A1034" s="191"/>
      <c r="B1034" s="191"/>
      <c r="C1034" s="191"/>
      <c r="D1034" s="192"/>
      <c r="E1034" s="193"/>
      <c r="F1034" s="194"/>
      <c r="G1034" s="194"/>
      <c r="H1034" s="195"/>
      <c r="I1034" s="196"/>
      <c r="J1034" s="197"/>
      <c r="K1034" s="193"/>
      <c r="L1034" s="198"/>
      <c r="M1034" s="199"/>
      <c r="N1034" s="194"/>
      <c r="O1034" s="193"/>
      <c r="P1034" s="193"/>
      <c r="Q1034" s="200"/>
      <c r="R1034" s="201"/>
      <c r="S1034" s="201"/>
      <c r="T1034" s="197"/>
      <c r="U1034" s="201"/>
      <c r="V1034" s="186"/>
      <c r="W1034" s="186"/>
    </row>
    <row r="1035" spans="1:23" ht="15.75">
      <c r="A1035" s="191"/>
      <c r="B1035" s="191"/>
      <c r="C1035" s="191"/>
      <c r="D1035" s="192"/>
      <c r="E1035" s="329"/>
      <c r="F1035" s="330"/>
      <c r="G1035" s="330"/>
      <c r="H1035" s="330"/>
      <c r="I1035" s="330"/>
      <c r="J1035" s="330"/>
      <c r="K1035" s="330"/>
      <c r="L1035" s="330"/>
      <c r="M1035" s="330"/>
      <c r="N1035" s="330"/>
      <c r="O1035" s="330"/>
      <c r="P1035" s="330"/>
      <c r="Q1035" s="330"/>
      <c r="R1035" s="330"/>
      <c r="S1035" s="330"/>
      <c r="T1035" s="330"/>
      <c r="U1035" s="331"/>
      <c r="V1035" s="186"/>
      <c r="W1035" s="186"/>
    </row>
    <row r="1036" spans="1:23">
      <c r="A1036" s="191"/>
      <c r="B1036" s="191"/>
      <c r="C1036" s="191"/>
      <c r="D1036" s="192"/>
      <c r="E1036" s="193"/>
      <c r="F1036" s="194"/>
      <c r="G1036" s="194"/>
      <c r="H1036" s="195"/>
      <c r="I1036" s="196"/>
      <c r="J1036" s="197"/>
      <c r="K1036" s="193"/>
      <c r="L1036" s="198"/>
      <c r="M1036" s="199"/>
      <c r="N1036" s="194"/>
      <c r="O1036" s="193"/>
      <c r="P1036" s="193"/>
      <c r="Q1036" s="200"/>
      <c r="R1036" s="201"/>
      <c r="S1036" s="201"/>
      <c r="T1036" s="197"/>
      <c r="U1036" s="201"/>
      <c r="V1036" s="186"/>
      <c r="W1036" s="186"/>
    </row>
    <row r="1037" spans="1:23" ht="15.75">
      <c r="A1037" s="191"/>
      <c r="B1037" s="191"/>
      <c r="C1037" s="191"/>
      <c r="D1037" s="192"/>
      <c r="E1037" s="329"/>
      <c r="F1037" s="330"/>
      <c r="G1037" s="330"/>
      <c r="H1037" s="330"/>
      <c r="I1037" s="330"/>
      <c r="J1037" s="330"/>
      <c r="K1037" s="330"/>
      <c r="L1037" s="330"/>
      <c r="M1037" s="330"/>
      <c r="N1037" s="330"/>
      <c r="O1037" s="330"/>
      <c r="P1037" s="330"/>
      <c r="Q1037" s="330"/>
      <c r="R1037" s="330"/>
      <c r="S1037" s="330"/>
      <c r="T1037" s="330"/>
      <c r="U1037" s="331"/>
      <c r="V1037" s="186"/>
      <c r="W1037" s="186"/>
    </row>
    <row r="1038" spans="1:23" ht="15.75">
      <c r="A1038" s="191"/>
      <c r="B1038" s="191"/>
      <c r="C1038" s="191"/>
      <c r="D1038" s="192"/>
      <c r="E1038" s="329"/>
      <c r="F1038" s="330"/>
      <c r="G1038" s="330"/>
      <c r="H1038" s="330"/>
      <c r="I1038" s="330"/>
      <c r="J1038" s="330"/>
      <c r="K1038" s="330"/>
      <c r="L1038" s="330"/>
      <c r="M1038" s="330"/>
      <c r="N1038" s="330"/>
      <c r="O1038" s="330"/>
      <c r="P1038" s="330"/>
      <c r="Q1038" s="330"/>
      <c r="R1038" s="330"/>
      <c r="S1038" s="330"/>
      <c r="T1038" s="330"/>
      <c r="U1038" s="331"/>
      <c r="V1038" s="186"/>
      <c r="W1038" s="186"/>
    </row>
    <row r="1039" spans="1:23" ht="15.75">
      <c r="A1039" s="191"/>
      <c r="B1039" s="191"/>
      <c r="C1039" s="191"/>
      <c r="D1039" s="192"/>
      <c r="E1039" s="329"/>
      <c r="F1039" s="330"/>
      <c r="G1039" s="330"/>
      <c r="H1039" s="330"/>
      <c r="I1039" s="330"/>
      <c r="J1039" s="330"/>
      <c r="K1039" s="330"/>
      <c r="L1039" s="330"/>
      <c r="M1039" s="330"/>
      <c r="N1039" s="330"/>
      <c r="O1039" s="330"/>
      <c r="P1039" s="330"/>
      <c r="Q1039" s="330"/>
      <c r="R1039" s="330"/>
      <c r="S1039" s="330"/>
      <c r="T1039" s="330"/>
      <c r="U1039" s="331"/>
      <c r="V1039" s="186"/>
      <c r="W1039" s="186"/>
    </row>
    <row r="1040" spans="1:23" ht="15.75">
      <c r="A1040" s="191"/>
      <c r="B1040" s="191"/>
      <c r="C1040" s="191"/>
      <c r="D1040" s="192"/>
      <c r="E1040" s="329"/>
      <c r="F1040" s="330"/>
      <c r="G1040" s="330"/>
      <c r="H1040" s="330"/>
      <c r="I1040" s="330"/>
      <c r="J1040" s="330"/>
      <c r="K1040" s="330"/>
      <c r="L1040" s="330"/>
      <c r="M1040" s="330"/>
      <c r="N1040" s="330"/>
      <c r="O1040" s="330"/>
      <c r="P1040" s="330"/>
      <c r="Q1040" s="330"/>
      <c r="R1040" s="330"/>
      <c r="S1040" s="330"/>
      <c r="T1040" s="330"/>
      <c r="U1040" s="331"/>
      <c r="V1040" s="186"/>
      <c r="W1040" s="186"/>
    </row>
    <row r="1041" spans="1:23">
      <c r="A1041" s="191"/>
      <c r="B1041" s="191"/>
      <c r="C1041" s="191"/>
      <c r="D1041" s="192"/>
      <c r="E1041" s="193"/>
      <c r="F1041" s="194"/>
      <c r="G1041" s="194"/>
      <c r="H1041" s="195"/>
      <c r="I1041" s="196"/>
      <c r="J1041" s="197"/>
      <c r="K1041" s="193"/>
      <c r="L1041" s="198"/>
      <c r="M1041" s="199"/>
      <c r="N1041" s="194"/>
      <c r="O1041" s="193"/>
      <c r="P1041" s="193"/>
      <c r="Q1041" s="200"/>
      <c r="R1041" s="201"/>
      <c r="S1041" s="201"/>
      <c r="T1041" s="197"/>
      <c r="U1041" s="201"/>
      <c r="V1041" s="186"/>
      <c r="W1041" s="186"/>
    </row>
    <row r="1042" spans="1:23" ht="15.75">
      <c r="A1042" s="191"/>
      <c r="B1042" s="191"/>
      <c r="C1042" s="191"/>
      <c r="D1042" s="192"/>
      <c r="E1042" s="329"/>
      <c r="F1042" s="330"/>
      <c r="G1042" s="330"/>
      <c r="H1042" s="330"/>
      <c r="I1042" s="330"/>
      <c r="J1042" s="330"/>
      <c r="K1042" s="330"/>
      <c r="L1042" s="330"/>
      <c r="M1042" s="330"/>
      <c r="N1042" s="330"/>
      <c r="O1042" s="330"/>
      <c r="P1042" s="330"/>
      <c r="Q1042" s="330"/>
      <c r="R1042" s="330"/>
      <c r="S1042" s="330"/>
      <c r="T1042" s="330"/>
      <c r="U1042" s="331"/>
      <c r="V1042" s="186"/>
      <c r="W1042" s="186"/>
    </row>
    <row r="1043" spans="1:23">
      <c r="A1043" s="191"/>
      <c r="B1043" s="191"/>
      <c r="C1043" s="191"/>
      <c r="D1043" s="192"/>
      <c r="E1043" s="193"/>
      <c r="F1043" s="194"/>
      <c r="G1043" s="194"/>
      <c r="H1043" s="195"/>
      <c r="I1043" s="196"/>
      <c r="J1043" s="197"/>
      <c r="K1043" s="193"/>
      <c r="L1043" s="198"/>
      <c r="M1043" s="199"/>
      <c r="N1043" s="194"/>
      <c r="O1043" s="193"/>
      <c r="P1043" s="193"/>
      <c r="Q1043" s="200"/>
      <c r="R1043" s="201"/>
      <c r="S1043" s="201"/>
      <c r="T1043" s="197"/>
      <c r="U1043" s="201"/>
      <c r="V1043" s="186"/>
      <c r="W1043" s="186"/>
    </row>
    <row r="1044" spans="1:23" ht="15.75">
      <c r="A1044" s="191"/>
      <c r="B1044" s="191"/>
      <c r="C1044" s="191"/>
      <c r="D1044" s="192"/>
      <c r="E1044" s="329"/>
      <c r="F1044" s="330"/>
      <c r="G1044" s="330"/>
      <c r="H1044" s="330"/>
      <c r="I1044" s="330"/>
      <c r="J1044" s="330"/>
      <c r="K1044" s="330"/>
      <c r="L1044" s="330"/>
      <c r="M1044" s="330"/>
      <c r="N1044" s="330"/>
      <c r="O1044" s="330"/>
      <c r="P1044" s="330"/>
      <c r="Q1044" s="330"/>
      <c r="R1044" s="330"/>
      <c r="S1044" s="330"/>
      <c r="T1044" s="330"/>
      <c r="U1044" s="331"/>
      <c r="V1044" s="186"/>
      <c r="W1044" s="186"/>
    </row>
    <row r="1045" spans="1:23" ht="15.75">
      <c r="A1045" s="191"/>
      <c r="B1045" s="191"/>
      <c r="C1045" s="191"/>
      <c r="D1045" s="192"/>
      <c r="E1045" s="329"/>
      <c r="F1045" s="330"/>
      <c r="G1045" s="330"/>
      <c r="H1045" s="330"/>
      <c r="I1045" s="330"/>
      <c r="J1045" s="330"/>
      <c r="K1045" s="330"/>
      <c r="L1045" s="330"/>
      <c r="M1045" s="330"/>
      <c r="N1045" s="330"/>
      <c r="O1045" s="330"/>
      <c r="P1045" s="330"/>
      <c r="Q1045" s="330"/>
      <c r="R1045" s="330"/>
      <c r="S1045" s="330"/>
      <c r="T1045" s="330"/>
      <c r="U1045" s="331"/>
      <c r="V1045" s="186"/>
      <c r="W1045" s="186"/>
    </row>
    <row r="1046" spans="1:23" ht="15.75">
      <c r="A1046" s="191"/>
      <c r="B1046" s="191"/>
      <c r="C1046" s="191"/>
      <c r="D1046" s="192"/>
      <c r="E1046" s="329"/>
      <c r="F1046" s="330"/>
      <c r="G1046" s="330"/>
      <c r="H1046" s="330"/>
      <c r="I1046" s="330"/>
      <c r="J1046" s="330"/>
      <c r="K1046" s="330"/>
      <c r="L1046" s="330"/>
      <c r="M1046" s="330"/>
      <c r="N1046" s="330"/>
      <c r="O1046" s="330"/>
      <c r="P1046" s="330"/>
      <c r="Q1046" s="330"/>
      <c r="R1046" s="330"/>
      <c r="S1046" s="330"/>
      <c r="T1046" s="330"/>
      <c r="U1046" s="331"/>
      <c r="V1046" s="186"/>
      <c r="W1046" s="186"/>
    </row>
    <row r="1047" spans="1:23" ht="15.75">
      <c r="A1047" s="202"/>
      <c r="B1047" s="332"/>
      <c r="C1047" s="333"/>
      <c r="D1047" s="334"/>
      <c r="E1047" s="334"/>
      <c r="F1047" s="334"/>
      <c r="G1047" s="334"/>
      <c r="H1047" s="334"/>
      <c r="I1047" s="334"/>
      <c r="J1047" s="334"/>
      <c r="K1047" s="334"/>
      <c r="L1047" s="334"/>
      <c r="M1047" s="334"/>
      <c r="N1047" s="334"/>
      <c r="O1047" s="334"/>
      <c r="P1047" s="334"/>
      <c r="Q1047" s="334"/>
      <c r="R1047" s="334"/>
      <c r="S1047" s="334"/>
      <c r="T1047" s="334"/>
      <c r="U1047" s="335"/>
      <c r="V1047" s="186"/>
      <c r="W1047" s="52"/>
    </row>
    <row r="1048" spans="1:23" ht="15.75">
      <c r="A1048" s="191"/>
      <c r="B1048" s="191"/>
      <c r="C1048" s="191"/>
      <c r="D1048" s="192"/>
      <c r="E1048" s="329"/>
      <c r="F1048" s="330"/>
      <c r="G1048" s="330"/>
      <c r="H1048" s="330"/>
      <c r="I1048" s="330"/>
      <c r="J1048" s="330"/>
      <c r="K1048" s="330"/>
      <c r="L1048" s="330"/>
      <c r="M1048" s="330"/>
      <c r="N1048" s="330"/>
      <c r="O1048" s="330"/>
      <c r="P1048" s="330"/>
      <c r="Q1048" s="330"/>
      <c r="R1048" s="330"/>
      <c r="S1048" s="330"/>
      <c r="T1048" s="330"/>
      <c r="U1048" s="331"/>
      <c r="V1048" s="186"/>
      <c r="W1048" s="186"/>
    </row>
    <row r="1049" spans="1:23" ht="15.75">
      <c r="A1049" s="191"/>
      <c r="B1049" s="191"/>
      <c r="C1049" s="191"/>
      <c r="D1049" s="192"/>
      <c r="E1049" s="329"/>
      <c r="F1049" s="330"/>
      <c r="G1049" s="330"/>
      <c r="H1049" s="330"/>
      <c r="I1049" s="330"/>
      <c r="J1049" s="330"/>
      <c r="K1049" s="330"/>
      <c r="L1049" s="330"/>
      <c r="M1049" s="330"/>
      <c r="N1049" s="330"/>
      <c r="O1049" s="330"/>
      <c r="P1049" s="330"/>
      <c r="Q1049" s="330"/>
      <c r="R1049" s="330"/>
      <c r="S1049" s="330"/>
      <c r="T1049" s="330"/>
      <c r="U1049" s="331"/>
      <c r="V1049" s="186"/>
      <c r="W1049" s="186"/>
    </row>
    <row r="1050" spans="1:23" ht="15.75">
      <c r="A1050" s="191"/>
      <c r="B1050" s="191"/>
      <c r="C1050" s="191"/>
      <c r="D1050" s="192"/>
      <c r="E1050" s="329"/>
      <c r="F1050" s="330"/>
      <c r="G1050" s="330"/>
      <c r="H1050" s="330"/>
      <c r="I1050" s="330"/>
      <c r="J1050" s="330"/>
      <c r="K1050" s="330"/>
      <c r="L1050" s="330"/>
      <c r="M1050" s="330"/>
      <c r="N1050" s="330"/>
      <c r="O1050" s="330"/>
      <c r="P1050" s="330"/>
      <c r="Q1050" s="330"/>
      <c r="R1050" s="330"/>
      <c r="S1050" s="330"/>
      <c r="T1050" s="330"/>
      <c r="U1050" s="331"/>
      <c r="V1050" s="186"/>
      <c r="W1050" s="186"/>
    </row>
    <row r="1051" spans="1:23">
      <c r="A1051" s="191"/>
      <c r="B1051" s="191"/>
      <c r="C1051" s="191"/>
      <c r="D1051" s="192"/>
      <c r="E1051" s="193"/>
      <c r="F1051" s="194"/>
      <c r="G1051" s="194"/>
      <c r="H1051" s="195"/>
      <c r="I1051" s="196"/>
      <c r="J1051" s="197"/>
      <c r="K1051" s="193"/>
      <c r="L1051" s="198"/>
      <c r="M1051" s="199"/>
      <c r="N1051" s="194"/>
      <c r="O1051" s="193"/>
      <c r="P1051" s="193"/>
      <c r="Q1051" s="200"/>
      <c r="R1051" s="201"/>
      <c r="S1051" s="201"/>
      <c r="T1051" s="197"/>
      <c r="U1051" s="201"/>
      <c r="V1051" s="186"/>
      <c r="W1051" s="186"/>
    </row>
    <row r="1052" spans="1:23" ht="15.75">
      <c r="A1052" s="191"/>
      <c r="B1052" s="191"/>
      <c r="C1052" s="191"/>
      <c r="D1052" s="192"/>
      <c r="E1052" s="329"/>
      <c r="F1052" s="330"/>
      <c r="G1052" s="330"/>
      <c r="H1052" s="330"/>
      <c r="I1052" s="330"/>
      <c r="J1052" s="330"/>
      <c r="K1052" s="330"/>
      <c r="L1052" s="330"/>
      <c r="M1052" s="330"/>
      <c r="N1052" s="330"/>
      <c r="O1052" s="330"/>
      <c r="P1052" s="330"/>
      <c r="Q1052" s="330"/>
      <c r="R1052" s="330"/>
      <c r="S1052" s="330"/>
      <c r="T1052" s="330"/>
      <c r="U1052" s="331"/>
      <c r="V1052" s="186"/>
      <c r="W1052" s="186"/>
    </row>
    <row r="1053" spans="1:23" ht="15.75">
      <c r="A1053" s="191"/>
      <c r="B1053" s="191"/>
      <c r="C1053" s="191"/>
      <c r="D1053" s="192"/>
      <c r="E1053" s="329"/>
      <c r="F1053" s="330"/>
      <c r="G1053" s="330"/>
      <c r="H1053" s="330"/>
      <c r="I1053" s="330"/>
      <c r="J1053" s="330"/>
      <c r="K1053" s="330"/>
      <c r="L1053" s="330"/>
      <c r="M1053" s="330"/>
      <c r="N1053" s="330"/>
      <c r="O1053" s="330"/>
      <c r="P1053" s="330"/>
      <c r="Q1053" s="330"/>
      <c r="R1053" s="330"/>
      <c r="S1053" s="330"/>
      <c r="T1053" s="330"/>
      <c r="U1053" s="331"/>
      <c r="V1053" s="186"/>
      <c r="W1053" s="186"/>
    </row>
    <row r="1054" spans="1:23">
      <c r="A1054" s="191"/>
      <c r="B1054" s="191"/>
      <c r="C1054" s="191"/>
      <c r="D1054" s="192"/>
      <c r="E1054" s="193"/>
      <c r="F1054" s="194"/>
      <c r="G1054" s="194"/>
      <c r="H1054" s="195"/>
      <c r="I1054" s="196"/>
      <c r="J1054" s="197"/>
      <c r="K1054" s="193"/>
      <c r="L1054" s="198"/>
      <c r="M1054" s="199"/>
      <c r="N1054" s="194"/>
      <c r="O1054" s="193"/>
      <c r="P1054" s="193"/>
      <c r="Q1054" s="200"/>
      <c r="R1054" s="201"/>
      <c r="S1054" s="201"/>
      <c r="T1054" s="197"/>
      <c r="U1054" s="201"/>
      <c r="V1054" s="186"/>
      <c r="W1054" s="186"/>
    </row>
    <row r="1055" spans="1:23" ht="15.75">
      <c r="A1055" s="191"/>
      <c r="B1055" s="191"/>
      <c r="C1055" s="191"/>
      <c r="D1055" s="192"/>
      <c r="E1055" s="329"/>
      <c r="F1055" s="330"/>
      <c r="G1055" s="330"/>
      <c r="H1055" s="330"/>
      <c r="I1055" s="330"/>
      <c r="J1055" s="330"/>
      <c r="K1055" s="330"/>
      <c r="L1055" s="330"/>
      <c r="M1055" s="330"/>
      <c r="N1055" s="330"/>
      <c r="O1055" s="330"/>
      <c r="P1055" s="330"/>
      <c r="Q1055" s="330"/>
      <c r="R1055" s="330"/>
      <c r="S1055" s="330"/>
      <c r="T1055" s="330"/>
      <c r="U1055" s="331"/>
      <c r="V1055" s="186"/>
      <c r="W1055" s="186"/>
    </row>
    <row r="1056" spans="1:23" ht="15.75">
      <c r="A1056" s="191"/>
      <c r="B1056" s="191"/>
      <c r="C1056" s="191"/>
      <c r="D1056" s="192"/>
      <c r="E1056" s="329"/>
      <c r="F1056" s="330"/>
      <c r="G1056" s="330"/>
      <c r="H1056" s="330"/>
      <c r="I1056" s="330"/>
      <c r="J1056" s="330"/>
      <c r="K1056" s="330"/>
      <c r="L1056" s="330"/>
      <c r="M1056" s="330"/>
      <c r="N1056" s="330"/>
      <c r="O1056" s="330"/>
      <c r="P1056" s="330"/>
      <c r="Q1056" s="330"/>
      <c r="R1056" s="330"/>
      <c r="S1056" s="330"/>
      <c r="T1056" s="330"/>
      <c r="U1056" s="331"/>
      <c r="V1056" s="186"/>
      <c r="W1056" s="186"/>
    </row>
    <row r="1057" spans="1:23" ht="15.75">
      <c r="A1057" s="191"/>
      <c r="B1057" s="191"/>
      <c r="C1057" s="191"/>
      <c r="D1057" s="192"/>
      <c r="E1057" s="329"/>
      <c r="F1057" s="330"/>
      <c r="G1057" s="330"/>
      <c r="H1057" s="330"/>
      <c r="I1057" s="330"/>
      <c r="J1057" s="330"/>
      <c r="K1057" s="330"/>
      <c r="L1057" s="330"/>
      <c r="M1057" s="330"/>
      <c r="N1057" s="330"/>
      <c r="O1057" s="330"/>
      <c r="P1057" s="330"/>
      <c r="Q1057" s="330"/>
      <c r="R1057" s="330"/>
      <c r="S1057" s="330"/>
      <c r="T1057" s="330"/>
      <c r="U1057" s="331"/>
      <c r="V1057" s="186"/>
      <c r="W1057" s="186"/>
    </row>
    <row r="1058" spans="1:23">
      <c r="A1058" s="191"/>
      <c r="B1058" s="191"/>
      <c r="C1058" s="191"/>
      <c r="D1058" s="192"/>
      <c r="E1058" s="193"/>
      <c r="F1058" s="194"/>
      <c r="G1058" s="194"/>
      <c r="H1058" s="195"/>
      <c r="I1058" s="196"/>
      <c r="J1058" s="197"/>
      <c r="K1058" s="193"/>
      <c r="L1058" s="198"/>
      <c r="M1058" s="199"/>
      <c r="N1058" s="194"/>
      <c r="O1058" s="193"/>
      <c r="P1058" s="193"/>
      <c r="Q1058" s="200"/>
      <c r="R1058" s="201"/>
      <c r="S1058" s="201"/>
      <c r="T1058" s="197"/>
      <c r="U1058" s="201"/>
      <c r="V1058" s="186"/>
      <c r="W1058" s="186"/>
    </row>
    <row r="1059" spans="1:23" ht="15.75">
      <c r="A1059" s="191"/>
      <c r="B1059" s="191"/>
      <c r="C1059" s="191"/>
      <c r="D1059" s="192"/>
      <c r="E1059" s="329"/>
      <c r="F1059" s="330"/>
      <c r="G1059" s="330"/>
      <c r="H1059" s="330"/>
      <c r="I1059" s="330"/>
      <c r="J1059" s="330"/>
      <c r="K1059" s="330"/>
      <c r="L1059" s="330"/>
      <c r="M1059" s="330"/>
      <c r="N1059" s="330"/>
      <c r="O1059" s="330"/>
      <c r="P1059" s="330"/>
      <c r="Q1059" s="330"/>
      <c r="R1059" s="330"/>
      <c r="S1059" s="330"/>
      <c r="T1059" s="330"/>
      <c r="U1059" s="331"/>
      <c r="V1059" s="186"/>
      <c r="W1059" s="186"/>
    </row>
    <row r="1060" spans="1:23" ht="15.75">
      <c r="A1060" s="191"/>
      <c r="B1060" s="191"/>
      <c r="C1060" s="191"/>
      <c r="D1060" s="192"/>
      <c r="E1060" s="329"/>
      <c r="F1060" s="330"/>
      <c r="G1060" s="330"/>
      <c r="H1060" s="330"/>
      <c r="I1060" s="330"/>
      <c r="J1060" s="330"/>
      <c r="K1060" s="330"/>
      <c r="L1060" s="330"/>
      <c r="M1060" s="330"/>
      <c r="N1060" s="330"/>
      <c r="O1060" s="330"/>
      <c r="P1060" s="330"/>
      <c r="Q1060" s="330"/>
      <c r="R1060" s="330"/>
      <c r="S1060" s="330"/>
      <c r="T1060" s="330"/>
      <c r="U1060" s="331"/>
      <c r="V1060" s="186"/>
      <c r="W1060" s="186"/>
    </row>
    <row r="1061" spans="1:23">
      <c r="A1061" s="191"/>
      <c r="B1061" s="191"/>
      <c r="C1061" s="191"/>
      <c r="D1061" s="192"/>
      <c r="E1061" s="193"/>
      <c r="F1061" s="194"/>
      <c r="G1061" s="194"/>
      <c r="H1061" s="195"/>
      <c r="I1061" s="196"/>
      <c r="J1061" s="197"/>
      <c r="K1061" s="193"/>
      <c r="L1061" s="198"/>
      <c r="M1061" s="199"/>
      <c r="N1061" s="194"/>
      <c r="O1061" s="193"/>
      <c r="P1061" s="193"/>
      <c r="Q1061" s="200"/>
      <c r="R1061" s="201"/>
      <c r="S1061" s="201"/>
      <c r="T1061" s="197"/>
      <c r="U1061" s="201"/>
      <c r="V1061" s="186"/>
      <c r="W1061" s="186"/>
    </row>
    <row r="1062" spans="1:23" ht="15.75">
      <c r="A1062" s="191"/>
      <c r="B1062" s="191"/>
      <c r="C1062" s="191"/>
      <c r="D1062" s="192"/>
      <c r="E1062" s="329"/>
      <c r="F1062" s="330"/>
      <c r="G1062" s="330"/>
      <c r="H1062" s="330"/>
      <c r="I1062" s="330"/>
      <c r="J1062" s="330"/>
      <c r="K1062" s="330"/>
      <c r="L1062" s="330"/>
      <c r="M1062" s="330"/>
      <c r="N1062" s="330"/>
      <c r="O1062" s="330"/>
      <c r="P1062" s="330"/>
      <c r="Q1062" s="330"/>
      <c r="R1062" s="330"/>
      <c r="S1062" s="330"/>
      <c r="T1062" s="330"/>
      <c r="U1062" s="331"/>
      <c r="V1062" s="186"/>
      <c r="W1062" s="186"/>
    </row>
    <row r="1063" spans="1:23">
      <c r="A1063" s="191"/>
      <c r="B1063" s="191"/>
      <c r="C1063" s="191"/>
      <c r="D1063" s="192"/>
      <c r="E1063" s="193"/>
      <c r="F1063" s="194"/>
      <c r="G1063" s="194"/>
      <c r="H1063" s="195"/>
      <c r="I1063" s="196"/>
      <c r="J1063" s="197"/>
      <c r="K1063" s="193"/>
      <c r="L1063" s="198"/>
      <c r="M1063" s="199"/>
      <c r="N1063" s="194"/>
      <c r="O1063" s="193"/>
      <c r="P1063" s="193"/>
      <c r="Q1063" s="200"/>
      <c r="R1063" s="201"/>
      <c r="S1063" s="201"/>
      <c r="T1063" s="197"/>
      <c r="U1063" s="201"/>
      <c r="V1063" s="186"/>
      <c r="W1063" s="186"/>
    </row>
    <row r="1064" spans="1:23" ht="15.75">
      <c r="A1064" s="191"/>
      <c r="B1064" s="191"/>
      <c r="C1064" s="191"/>
      <c r="D1064" s="192"/>
      <c r="E1064" s="329"/>
      <c r="F1064" s="330"/>
      <c r="G1064" s="330"/>
      <c r="H1064" s="330"/>
      <c r="I1064" s="330"/>
      <c r="J1064" s="330"/>
      <c r="K1064" s="330"/>
      <c r="L1064" s="330"/>
      <c r="M1064" s="330"/>
      <c r="N1064" s="330"/>
      <c r="O1064" s="330"/>
      <c r="P1064" s="330"/>
      <c r="Q1064" s="330"/>
      <c r="R1064" s="330"/>
      <c r="S1064" s="330"/>
      <c r="T1064" s="330"/>
      <c r="U1064" s="331"/>
      <c r="V1064" s="186"/>
      <c r="W1064" s="186"/>
    </row>
    <row r="1065" spans="1:23" ht="15.75">
      <c r="A1065" s="191"/>
      <c r="B1065" s="191"/>
      <c r="C1065" s="191"/>
      <c r="D1065" s="192"/>
      <c r="E1065" s="329"/>
      <c r="F1065" s="330"/>
      <c r="G1065" s="330"/>
      <c r="H1065" s="330"/>
      <c r="I1065" s="330"/>
      <c r="J1065" s="330"/>
      <c r="K1065" s="330"/>
      <c r="L1065" s="330"/>
      <c r="M1065" s="330"/>
      <c r="N1065" s="330"/>
      <c r="O1065" s="330"/>
      <c r="P1065" s="330"/>
      <c r="Q1065" s="330"/>
      <c r="R1065" s="330"/>
      <c r="S1065" s="330"/>
      <c r="T1065" s="330"/>
      <c r="U1065" s="331"/>
      <c r="V1065" s="186"/>
      <c r="W1065" s="186"/>
    </row>
    <row r="1066" spans="1:23">
      <c r="A1066" s="191"/>
      <c r="B1066" s="191"/>
      <c r="C1066" s="191"/>
      <c r="D1066" s="192"/>
      <c r="E1066" s="193"/>
      <c r="F1066" s="194"/>
      <c r="G1066" s="194"/>
      <c r="H1066" s="195"/>
      <c r="I1066" s="196"/>
      <c r="J1066" s="197"/>
      <c r="K1066" s="193"/>
      <c r="L1066" s="198"/>
      <c r="M1066" s="199"/>
      <c r="N1066" s="194"/>
      <c r="O1066" s="193"/>
      <c r="P1066" s="193"/>
      <c r="Q1066" s="200"/>
      <c r="R1066" s="201"/>
      <c r="S1066" s="201"/>
      <c r="T1066" s="197"/>
      <c r="U1066" s="201"/>
      <c r="V1066" s="186"/>
      <c r="W1066" s="186"/>
    </row>
    <row r="1067" spans="1:23" ht="15.75">
      <c r="A1067" s="191"/>
      <c r="B1067" s="191"/>
      <c r="C1067" s="191"/>
      <c r="D1067" s="192"/>
      <c r="E1067" s="329"/>
      <c r="F1067" s="330"/>
      <c r="G1067" s="330"/>
      <c r="H1067" s="330"/>
      <c r="I1067" s="330"/>
      <c r="J1067" s="330"/>
      <c r="K1067" s="330"/>
      <c r="L1067" s="330"/>
      <c r="M1067" s="330"/>
      <c r="N1067" s="330"/>
      <c r="O1067" s="330"/>
      <c r="P1067" s="330"/>
      <c r="Q1067" s="330"/>
      <c r="R1067" s="330"/>
      <c r="S1067" s="330"/>
      <c r="T1067" s="330"/>
      <c r="U1067" s="331"/>
      <c r="V1067" s="186"/>
      <c r="W1067" s="186"/>
    </row>
    <row r="1068" spans="1:23" ht="15.75">
      <c r="A1068" s="191"/>
      <c r="B1068" s="191"/>
      <c r="C1068" s="191"/>
      <c r="D1068" s="192"/>
      <c r="E1068" s="329"/>
      <c r="F1068" s="330"/>
      <c r="G1068" s="330"/>
      <c r="H1068" s="330"/>
      <c r="I1068" s="330"/>
      <c r="J1068" s="330"/>
      <c r="K1068" s="330"/>
      <c r="L1068" s="330"/>
      <c r="M1068" s="330"/>
      <c r="N1068" s="330"/>
      <c r="O1068" s="330"/>
      <c r="P1068" s="330"/>
      <c r="Q1068" s="330"/>
      <c r="R1068" s="330"/>
      <c r="S1068" s="330"/>
      <c r="T1068" s="330"/>
      <c r="U1068" s="331"/>
      <c r="V1068" s="186"/>
      <c r="W1068" s="186"/>
    </row>
    <row r="1069" spans="1:23" ht="15.75">
      <c r="A1069" s="191"/>
      <c r="B1069" s="191"/>
      <c r="C1069" s="191"/>
      <c r="D1069" s="192"/>
      <c r="E1069" s="329"/>
      <c r="F1069" s="330"/>
      <c r="G1069" s="330"/>
      <c r="H1069" s="330"/>
      <c r="I1069" s="330"/>
      <c r="J1069" s="330"/>
      <c r="K1069" s="330"/>
      <c r="L1069" s="330"/>
      <c r="M1069" s="330"/>
      <c r="N1069" s="330"/>
      <c r="O1069" s="330"/>
      <c r="P1069" s="330"/>
      <c r="Q1069" s="330"/>
      <c r="R1069" s="330"/>
      <c r="S1069" s="330"/>
      <c r="T1069" s="330"/>
      <c r="U1069" s="331"/>
      <c r="V1069" s="186"/>
      <c r="W1069" s="186"/>
    </row>
    <row r="1070" spans="1:23" ht="15.75">
      <c r="A1070" s="191"/>
      <c r="B1070" s="191"/>
      <c r="C1070" s="191"/>
      <c r="D1070" s="192"/>
      <c r="E1070" s="329"/>
      <c r="F1070" s="330"/>
      <c r="G1070" s="330"/>
      <c r="H1070" s="330"/>
      <c r="I1070" s="330"/>
      <c r="J1070" s="330"/>
      <c r="K1070" s="330"/>
      <c r="L1070" s="330"/>
      <c r="M1070" s="330"/>
      <c r="N1070" s="330"/>
      <c r="O1070" s="330"/>
      <c r="P1070" s="330"/>
      <c r="Q1070" s="330"/>
      <c r="R1070" s="330"/>
      <c r="S1070" s="330"/>
      <c r="T1070" s="330"/>
      <c r="U1070" s="331"/>
      <c r="V1070" s="186"/>
      <c r="W1070" s="186"/>
    </row>
    <row r="1071" spans="1:23">
      <c r="A1071" s="191"/>
      <c r="B1071" s="191"/>
      <c r="C1071" s="191"/>
      <c r="D1071" s="192"/>
      <c r="E1071" s="193"/>
      <c r="F1071" s="194"/>
      <c r="G1071" s="194"/>
      <c r="H1071" s="195"/>
      <c r="I1071" s="196"/>
      <c r="J1071" s="197"/>
      <c r="K1071" s="193"/>
      <c r="L1071" s="198"/>
      <c r="M1071" s="199"/>
      <c r="N1071" s="194"/>
      <c r="O1071" s="193"/>
      <c r="P1071" s="193"/>
      <c r="Q1071" s="200"/>
      <c r="R1071" s="201"/>
      <c r="S1071" s="201"/>
      <c r="T1071" s="197"/>
      <c r="U1071" s="201"/>
      <c r="V1071" s="186"/>
      <c r="W1071" s="186"/>
    </row>
    <row r="1072" spans="1:23" ht="15.75">
      <c r="A1072" s="191"/>
      <c r="B1072" s="191"/>
      <c r="C1072" s="191"/>
      <c r="D1072" s="192"/>
      <c r="E1072" s="329"/>
      <c r="F1072" s="330"/>
      <c r="G1072" s="330"/>
      <c r="H1072" s="330"/>
      <c r="I1072" s="330"/>
      <c r="J1072" s="330"/>
      <c r="K1072" s="330"/>
      <c r="L1072" s="330"/>
      <c r="M1072" s="330"/>
      <c r="N1072" s="330"/>
      <c r="O1072" s="330"/>
      <c r="P1072" s="330"/>
      <c r="Q1072" s="330"/>
      <c r="R1072" s="330"/>
      <c r="S1072" s="330"/>
      <c r="T1072" s="330"/>
      <c r="U1072" s="331"/>
      <c r="V1072" s="186"/>
      <c r="W1072" s="186"/>
    </row>
    <row r="1073" spans="1:23">
      <c r="A1073" s="191"/>
      <c r="B1073" s="191"/>
      <c r="C1073" s="191"/>
      <c r="D1073" s="192"/>
      <c r="E1073" s="193"/>
      <c r="F1073" s="194"/>
      <c r="G1073" s="194"/>
      <c r="H1073" s="195"/>
      <c r="I1073" s="196"/>
      <c r="J1073" s="197"/>
      <c r="K1073" s="193"/>
      <c r="L1073" s="198"/>
      <c r="M1073" s="199"/>
      <c r="N1073" s="194"/>
      <c r="O1073" s="193"/>
      <c r="P1073" s="193"/>
      <c r="Q1073" s="200"/>
      <c r="R1073" s="201"/>
      <c r="S1073" s="201"/>
      <c r="T1073" s="197"/>
      <c r="U1073" s="201"/>
      <c r="V1073" s="186"/>
      <c r="W1073" s="186"/>
    </row>
    <row r="1074" spans="1:23" ht="15.75">
      <c r="A1074" s="191"/>
      <c r="B1074" s="191"/>
      <c r="C1074" s="191"/>
      <c r="D1074" s="192"/>
      <c r="E1074" s="329"/>
      <c r="F1074" s="330"/>
      <c r="G1074" s="330"/>
      <c r="H1074" s="330"/>
      <c r="I1074" s="330"/>
      <c r="J1074" s="330"/>
      <c r="K1074" s="330"/>
      <c r="L1074" s="330"/>
      <c r="M1074" s="330"/>
      <c r="N1074" s="330"/>
      <c r="O1074" s="330"/>
      <c r="P1074" s="330"/>
      <c r="Q1074" s="330"/>
      <c r="R1074" s="330"/>
      <c r="S1074" s="330"/>
      <c r="T1074" s="330"/>
      <c r="U1074" s="331"/>
      <c r="V1074" s="186"/>
      <c r="W1074" s="186"/>
    </row>
    <row r="1075" spans="1:23" ht="15.75">
      <c r="A1075" s="191"/>
      <c r="B1075" s="191"/>
      <c r="C1075" s="191"/>
      <c r="D1075" s="192"/>
      <c r="E1075" s="329"/>
      <c r="F1075" s="330"/>
      <c r="G1075" s="330"/>
      <c r="H1075" s="330"/>
      <c r="I1075" s="330"/>
      <c r="J1075" s="330"/>
      <c r="K1075" s="330"/>
      <c r="L1075" s="330"/>
      <c r="M1075" s="330"/>
      <c r="N1075" s="330"/>
      <c r="O1075" s="330"/>
      <c r="P1075" s="330"/>
      <c r="Q1075" s="330"/>
      <c r="R1075" s="330"/>
      <c r="S1075" s="330"/>
      <c r="T1075" s="330"/>
      <c r="U1075" s="331"/>
      <c r="V1075" s="186"/>
      <c r="W1075" s="186"/>
    </row>
    <row r="1076" spans="1:23" ht="15.75">
      <c r="A1076" s="191"/>
      <c r="B1076" s="191"/>
      <c r="C1076" s="191"/>
      <c r="D1076" s="192"/>
      <c r="E1076" s="329"/>
      <c r="F1076" s="330"/>
      <c r="G1076" s="330"/>
      <c r="H1076" s="330"/>
      <c r="I1076" s="330"/>
      <c r="J1076" s="330"/>
      <c r="K1076" s="330"/>
      <c r="L1076" s="330"/>
      <c r="M1076" s="330"/>
      <c r="N1076" s="330"/>
      <c r="O1076" s="330"/>
      <c r="P1076" s="330"/>
      <c r="Q1076" s="330"/>
      <c r="R1076" s="330"/>
      <c r="S1076" s="330"/>
      <c r="T1076" s="330"/>
      <c r="U1076" s="331"/>
      <c r="V1076" s="186"/>
      <c r="W1076" s="186"/>
    </row>
    <row r="1077" spans="1:23" ht="15.75">
      <c r="A1077" s="191"/>
      <c r="B1077" s="191"/>
      <c r="C1077" s="191"/>
      <c r="D1077" s="192"/>
      <c r="E1077" s="329"/>
      <c r="F1077" s="330"/>
      <c r="G1077" s="330"/>
      <c r="H1077" s="330"/>
      <c r="I1077" s="330"/>
      <c r="J1077" s="330"/>
      <c r="K1077" s="330"/>
      <c r="L1077" s="330"/>
      <c r="M1077" s="330"/>
      <c r="N1077" s="330"/>
      <c r="O1077" s="330"/>
      <c r="P1077" s="330"/>
      <c r="Q1077" s="330"/>
      <c r="R1077" s="330"/>
      <c r="S1077" s="330"/>
      <c r="T1077" s="330"/>
      <c r="U1077" s="331"/>
      <c r="V1077" s="186"/>
      <c r="W1077" s="186"/>
    </row>
    <row r="1078" spans="1:23" ht="15.75">
      <c r="A1078" s="202"/>
      <c r="B1078" s="332"/>
      <c r="C1078" s="333"/>
      <c r="D1078" s="334"/>
      <c r="E1078" s="334"/>
      <c r="F1078" s="334"/>
      <c r="G1078" s="334"/>
      <c r="H1078" s="334"/>
      <c r="I1078" s="334"/>
      <c r="J1078" s="334"/>
      <c r="K1078" s="334"/>
      <c r="L1078" s="334"/>
      <c r="M1078" s="334"/>
      <c r="N1078" s="334"/>
      <c r="O1078" s="334"/>
      <c r="P1078" s="334"/>
      <c r="Q1078" s="334"/>
      <c r="R1078" s="334"/>
      <c r="S1078" s="334"/>
      <c r="T1078" s="334"/>
      <c r="U1078" s="335"/>
      <c r="V1078" s="186"/>
      <c r="W1078" s="52"/>
    </row>
    <row r="1079" spans="1:23" ht="15.75">
      <c r="A1079" s="191"/>
      <c r="B1079" s="191"/>
      <c r="C1079" s="191"/>
      <c r="D1079" s="192"/>
      <c r="E1079" s="329"/>
      <c r="F1079" s="330"/>
      <c r="G1079" s="330"/>
      <c r="H1079" s="330"/>
      <c r="I1079" s="330"/>
      <c r="J1079" s="330"/>
      <c r="K1079" s="330"/>
      <c r="L1079" s="330"/>
      <c r="M1079" s="330"/>
      <c r="N1079" s="330"/>
      <c r="O1079" s="330"/>
      <c r="P1079" s="330"/>
      <c r="Q1079" s="330"/>
      <c r="R1079" s="330"/>
      <c r="S1079" s="330"/>
      <c r="T1079" s="330"/>
      <c r="U1079" s="331"/>
      <c r="V1079" s="186"/>
      <c r="W1079" s="186"/>
    </row>
    <row r="1080" spans="1:23">
      <c r="A1080" s="191"/>
      <c r="B1080" s="191"/>
      <c r="C1080" s="191"/>
      <c r="D1080" s="192"/>
      <c r="E1080" s="193"/>
      <c r="F1080" s="194"/>
      <c r="G1080" s="194"/>
      <c r="H1080" s="195"/>
      <c r="I1080" s="196"/>
      <c r="J1080" s="197"/>
      <c r="K1080" s="193"/>
      <c r="L1080" s="198"/>
      <c r="M1080" s="199"/>
      <c r="N1080" s="194"/>
      <c r="O1080" s="193"/>
      <c r="P1080" s="193"/>
      <c r="Q1080" s="200"/>
      <c r="R1080" s="201"/>
      <c r="S1080" s="201"/>
      <c r="T1080" s="197"/>
      <c r="U1080" s="201"/>
      <c r="V1080" s="186"/>
      <c r="W1080" s="186"/>
    </row>
    <row r="1081" spans="1:23" ht="15.75">
      <c r="A1081" s="191"/>
      <c r="B1081" s="191"/>
      <c r="C1081" s="191"/>
      <c r="D1081" s="192"/>
      <c r="E1081" s="329"/>
      <c r="F1081" s="330"/>
      <c r="G1081" s="330"/>
      <c r="H1081" s="330"/>
      <c r="I1081" s="330"/>
      <c r="J1081" s="330"/>
      <c r="K1081" s="330"/>
      <c r="L1081" s="330"/>
      <c r="M1081" s="330"/>
      <c r="N1081" s="330"/>
      <c r="O1081" s="330"/>
      <c r="P1081" s="330"/>
      <c r="Q1081" s="330"/>
      <c r="R1081" s="330"/>
      <c r="S1081" s="330"/>
      <c r="T1081" s="330"/>
      <c r="U1081" s="331"/>
      <c r="V1081" s="186"/>
      <c r="W1081" s="186"/>
    </row>
    <row r="1082" spans="1:23" ht="15.75">
      <c r="A1082" s="191"/>
      <c r="B1082" s="191"/>
      <c r="C1082" s="191"/>
      <c r="D1082" s="192"/>
      <c r="E1082" s="329"/>
      <c r="F1082" s="330"/>
      <c r="G1082" s="330"/>
      <c r="H1082" s="330"/>
      <c r="I1082" s="330"/>
      <c r="J1082" s="330"/>
      <c r="K1082" s="330"/>
      <c r="L1082" s="330"/>
      <c r="M1082" s="330"/>
      <c r="N1082" s="330"/>
      <c r="O1082" s="330"/>
      <c r="P1082" s="330"/>
      <c r="Q1082" s="330"/>
      <c r="R1082" s="330"/>
      <c r="S1082" s="330"/>
      <c r="T1082" s="330"/>
      <c r="U1082" s="331"/>
      <c r="V1082" s="186"/>
      <c r="W1082" s="186"/>
    </row>
    <row r="1083" spans="1:23">
      <c r="A1083" s="191"/>
      <c r="B1083" s="191"/>
      <c r="C1083" s="191"/>
      <c r="D1083" s="192"/>
      <c r="E1083" s="193"/>
      <c r="F1083" s="194"/>
      <c r="G1083" s="194"/>
      <c r="H1083" s="195"/>
      <c r="I1083" s="196"/>
      <c r="J1083" s="197"/>
      <c r="K1083" s="193"/>
      <c r="L1083" s="198"/>
      <c r="M1083" s="199"/>
      <c r="N1083" s="194"/>
      <c r="O1083" s="193"/>
      <c r="P1083" s="193"/>
      <c r="Q1083" s="200"/>
      <c r="R1083" s="201"/>
      <c r="S1083" s="201"/>
      <c r="T1083" s="197"/>
      <c r="U1083" s="201"/>
      <c r="V1083" s="186"/>
      <c r="W1083" s="186"/>
    </row>
    <row r="1084" spans="1:23" ht="15.75">
      <c r="A1084" s="191"/>
      <c r="B1084" s="191"/>
      <c r="C1084" s="191"/>
      <c r="D1084" s="192"/>
      <c r="E1084" s="329"/>
      <c r="F1084" s="330"/>
      <c r="G1084" s="330"/>
      <c r="H1084" s="330"/>
      <c r="I1084" s="330"/>
      <c r="J1084" s="330"/>
      <c r="K1084" s="330"/>
      <c r="L1084" s="330"/>
      <c r="M1084" s="330"/>
      <c r="N1084" s="330"/>
      <c r="O1084" s="330"/>
      <c r="P1084" s="330"/>
      <c r="Q1084" s="330"/>
      <c r="R1084" s="330"/>
      <c r="S1084" s="330"/>
      <c r="T1084" s="330"/>
      <c r="U1084" s="331"/>
      <c r="V1084" s="186"/>
      <c r="W1084" s="186"/>
    </row>
    <row r="1085" spans="1:23" ht="15.75">
      <c r="A1085" s="191"/>
      <c r="B1085" s="191"/>
      <c r="C1085" s="191"/>
      <c r="D1085" s="192"/>
      <c r="E1085" s="329"/>
      <c r="F1085" s="330"/>
      <c r="G1085" s="330"/>
      <c r="H1085" s="330"/>
      <c r="I1085" s="330"/>
      <c r="J1085" s="330"/>
      <c r="K1085" s="330"/>
      <c r="L1085" s="330"/>
      <c r="M1085" s="330"/>
      <c r="N1085" s="330"/>
      <c r="O1085" s="330"/>
      <c r="P1085" s="330"/>
      <c r="Q1085" s="330"/>
      <c r="R1085" s="330"/>
      <c r="S1085" s="330"/>
      <c r="T1085" s="330"/>
      <c r="U1085" s="331"/>
      <c r="V1085" s="186"/>
      <c r="W1085" s="186"/>
    </row>
    <row r="1086" spans="1:23" ht="15.75">
      <c r="A1086" s="191"/>
      <c r="B1086" s="191"/>
      <c r="C1086" s="191"/>
      <c r="D1086" s="192"/>
      <c r="E1086" s="329"/>
      <c r="F1086" s="330"/>
      <c r="G1086" s="330"/>
      <c r="H1086" s="330"/>
      <c r="I1086" s="330"/>
      <c r="J1086" s="330"/>
      <c r="K1086" s="330"/>
      <c r="L1086" s="330"/>
      <c r="M1086" s="330"/>
      <c r="N1086" s="330"/>
      <c r="O1086" s="330"/>
      <c r="P1086" s="330"/>
      <c r="Q1086" s="330"/>
      <c r="R1086" s="330"/>
      <c r="S1086" s="330"/>
      <c r="T1086" s="330"/>
      <c r="U1086" s="331"/>
      <c r="V1086" s="186"/>
      <c r="W1086" s="186"/>
    </row>
    <row r="1087" spans="1:23" ht="15.75">
      <c r="A1087" s="191"/>
      <c r="B1087" s="191"/>
      <c r="C1087" s="191"/>
      <c r="D1087" s="192"/>
      <c r="E1087" s="329"/>
      <c r="F1087" s="330"/>
      <c r="G1087" s="330"/>
      <c r="H1087" s="330"/>
      <c r="I1087" s="330"/>
      <c r="J1087" s="330"/>
      <c r="K1087" s="330"/>
      <c r="L1087" s="330"/>
      <c r="M1087" s="330"/>
      <c r="N1087" s="330"/>
      <c r="O1087" s="330"/>
      <c r="P1087" s="330"/>
      <c r="Q1087" s="330"/>
      <c r="R1087" s="330"/>
      <c r="S1087" s="330"/>
      <c r="T1087" s="330"/>
      <c r="U1087" s="331"/>
      <c r="V1087" s="186"/>
      <c r="W1087" s="186"/>
    </row>
    <row r="1088" spans="1:23">
      <c r="A1088" s="191"/>
      <c r="B1088" s="191"/>
      <c r="C1088" s="191"/>
      <c r="D1088" s="192"/>
      <c r="E1088" s="193"/>
      <c r="F1088" s="194"/>
      <c r="G1088" s="194"/>
      <c r="H1088" s="195"/>
      <c r="I1088" s="196"/>
      <c r="J1088" s="197"/>
      <c r="K1088" s="193"/>
      <c r="L1088" s="198"/>
      <c r="M1088" s="199"/>
      <c r="N1088" s="194"/>
      <c r="O1088" s="193"/>
      <c r="P1088" s="193"/>
      <c r="Q1088" s="200"/>
      <c r="R1088" s="201"/>
      <c r="S1088" s="201"/>
      <c r="T1088" s="197"/>
      <c r="U1088" s="201"/>
      <c r="V1088" s="186"/>
      <c r="W1088" s="186"/>
    </row>
    <row r="1089" spans="1:23" ht="15.75">
      <c r="A1089" s="191"/>
      <c r="B1089" s="191"/>
      <c r="C1089" s="191"/>
      <c r="D1089" s="192"/>
      <c r="E1089" s="329"/>
      <c r="F1089" s="330"/>
      <c r="G1089" s="330"/>
      <c r="H1089" s="330"/>
      <c r="I1089" s="330"/>
      <c r="J1089" s="330"/>
      <c r="K1089" s="330"/>
      <c r="L1089" s="330"/>
      <c r="M1089" s="330"/>
      <c r="N1089" s="330"/>
      <c r="O1089" s="330"/>
      <c r="P1089" s="330"/>
      <c r="Q1089" s="330"/>
      <c r="R1089" s="330"/>
      <c r="S1089" s="330"/>
      <c r="T1089" s="330"/>
      <c r="U1089" s="331"/>
      <c r="V1089" s="186"/>
      <c r="W1089" s="186"/>
    </row>
    <row r="1090" spans="1:23" ht="15.75">
      <c r="A1090" s="191"/>
      <c r="B1090" s="191"/>
      <c r="C1090" s="191"/>
      <c r="D1090" s="192"/>
      <c r="E1090" s="329"/>
      <c r="F1090" s="330"/>
      <c r="G1090" s="330"/>
      <c r="H1090" s="330"/>
      <c r="I1090" s="330"/>
      <c r="J1090" s="330"/>
      <c r="K1090" s="330"/>
      <c r="L1090" s="330"/>
      <c r="M1090" s="330"/>
      <c r="N1090" s="330"/>
      <c r="O1090" s="330"/>
      <c r="P1090" s="330"/>
      <c r="Q1090" s="330"/>
      <c r="R1090" s="330"/>
      <c r="S1090" s="330"/>
      <c r="T1090" s="330"/>
      <c r="U1090" s="331"/>
      <c r="V1090" s="186"/>
      <c r="W1090" s="186"/>
    </row>
    <row r="1091" spans="1:23">
      <c r="A1091" s="191"/>
      <c r="B1091" s="191"/>
      <c r="C1091" s="191"/>
      <c r="D1091" s="192"/>
      <c r="E1091" s="193"/>
      <c r="F1091" s="194"/>
      <c r="G1091" s="194"/>
      <c r="H1091" s="195"/>
      <c r="I1091" s="196"/>
      <c r="J1091" s="197"/>
      <c r="K1091" s="193"/>
      <c r="L1091" s="198"/>
      <c r="M1091" s="199"/>
      <c r="N1091" s="194"/>
      <c r="O1091" s="193"/>
      <c r="P1091" s="193"/>
      <c r="Q1091" s="200"/>
      <c r="R1091" s="201"/>
      <c r="S1091" s="201"/>
      <c r="T1091" s="197"/>
      <c r="U1091" s="201"/>
      <c r="V1091" s="186"/>
      <c r="W1091" s="186"/>
    </row>
    <row r="1092" spans="1:23" ht="15.75">
      <c r="A1092" s="191"/>
      <c r="B1092" s="191"/>
      <c r="C1092" s="191"/>
      <c r="D1092" s="192"/>
      <c r="E1092" s="329"/>
      <c r="F1092" s="330"/>
      <c r="G1092" s="330"/>
      <c r="H1092" s="330"/>
      <c r="I1092" s="330"/>
      <c r="J1092" s="330"/>
      <c r="K1092" s="330"/>
      <c r="L1092" s="330"/>
      <c r="M1092" s="330"/>
      <c r="N1092" s="330"/>
      <c r="O1092" s="330"/>
      <c r="P1092" s="330"/>
      <c r="Q1092" s="330"/>
      <c r="R1092" s="330"/>
      <c r="S1092" s="330"/>
      <c r="T1092" s="330"/>
      <c r="U1092" s="331"/>
      <c r="V1092" s="186"/>
      <c r="W1092" s="186"/>
    </row>
    <row r="1093" spans="1:23" ht="15.75">
      <c r="A1093" s="191"/>
      <c r="B1093" s="191"/>
      <c r="C1093" s="191"/>
      <c r="D1093" s="192"/>
      <c r="E1093" s="329"/>
      <c r="F1093" s="330"/>
      <c r="G1093" s="330"/>
      <c r="H1093" s="330"/>
      <c r="I1093" s="330"/>
      <c r="J1093" s="330"/>
      <c r="K1093" s="330"/>
      <c r="L1093" s="330"/>
      <c r="M1093" s="330"/>
      <c r="N1093" s="330"/>
      <c r="O1093" s="330"/>
      <c r="P1093" s="330"/>
      <c r="Q1093" s="330"/>
      <c r="R1093" s="330"/>
      <c r="S1093" s="330"/>
      <c r="T1093" s="330"/>
      <c r="U1093" s="331"/>
      <c r="V1093" s="186"/>
      <c r="W1093" s="186"/>
    </row>
    <row r="1094" spans="1:23" ht="15.75">
      <c r="A1094" s="191"/>
      <c r="B1094" s="191"/>
      <c r="C1094" s="191"/>
      <c r="D1094" s="192"/>
      <c r="E1094" s="329"/>
      <c r="F1094" s="330"/>
      <c r="G1094" s="330"/>
      <c r="H1094" s="330"/>
      <c r="I1094" s="330"/>
      <c r="J1094" s="330"/>
      <c r="K1094" s="330"/>
      <c r="L1094" s="330"/>
      <c r="M1094" s="330"/>
      <c r="N1094" s="330"/>
      <c r="O1094" s="330"/>
      <c r="P1094" s="330"/>
      <c r="Q1094" s="330"/>
      <c r="R1094" s="330"/>
      <c r="S1094" s="330"/>
      <c r="T1094" s="330"/>
      <c r="U1094" s="331"/>
      <c r="V1094" s="186"/>
      <c r="W1094" s="186"/>
    </row>
    <row r="1095" spans="1:23" ht="15.75">
      <c r="A1095" s="191"/>
      <c r="B1095" s="191"/>
      <c r="C1095" s="191"/>
      <c r="D1095" s="192"/>
      <c r="E1095" s="329"/>
      <c r="F1095" s="330"/>
      <c r="G1095" s="330"/>
      <c r="H1095" s="330"/>
      <c r="I1095" s="330"/>
      <c r="J1095" s="330"/>
      <c r="K1095" s="330"/>
      <c r="L1095" s="330"/>
      <c r="M1095" s="330"/>
      <c r="N1095" s="330"/>
      <c r="O1095" s="330"/>
      <c r="P1095" s="330"/>
      <c r="Q1095" s="330"/>
      <c r="R1095" s="330"/>
      <c r="S1095" s="330"/>
      <c r="T1095" s="330"/>
      <c r="U1095" s="331"/>
      <c r="V1095" s="186"/>
      <c r="W1095" s="186"/>
    </row>
    <row r="1096" spans="1:23" ht="15.75">
      <c r="A1096" s="191"/>
      <c r="B1096" s="191"/>
      <c r="C1096" s="191"/>
      <c r="D1096" s="192"/>
      <c r="E1096" s="329"/>
      <c r="F1096" s="330"/>
      <c r="G1096" s="330"/>
      <c r="H1096" s="330"/>
      <c r="I1096" s="330"/>
      <c r="J1096" s="330"/>
      <c r="K1096" s="330"/>
      <c r="L1096" s="330"/>
      <c r="M1096" s="330"/>
      <c r="N1096" s="330"/>
      <c r="O1096" s="330"/>
      <c r="P1096" s="330"/>
      <c r="Q1096" s="330"/>
      <c r="R1096" s="330"/>
      <c r="S1096" s="330"/>
      <c r="T1096" s="330"/>
      <c r="U1096" s="331"/>
      <c r="V1096" s="186"/>
      <c r="W1096" s="186"/>
    </row>
    <row r="1097" spans="1:23">
      <c r="A1097" s="191"/>
      <c r="B1097" s="191"/>
      <c r="C1097" s="191"/>
      <c r="D1097" s="192"/>
      <c r="E1097" s="193"/>
      <c r="F1097" s="194"/>
      <c r="G1097" s="194"/>
      <c r="H1097" s="195"/>
      <c r="I1097" s="196"/>
      <c r="J1097" s="197"/>
      <c r="K1097" s="193"/>
      <c r="L1097" s="198"/>
      <c r="M1097" s="199"/>
      <c r="N1097" s="194"/>
      <c r="O1097" s="193"/>
      <c r="P1097" s="193"/>
      <c r="Q1097" s="200"/>
      <c r="R1097" s="201"/>
      <c r="S1097" s="201"/>
      <c r="T1097" s="197"/>
      <c r="U1097" s="201"/>
      <c r="V1097" s="186"/>
      <c r="W1097" s="186"/>
    </row>
    <row r="1098" spans="1:23" ht="15.75">
      <c r="A1098" s="191"/>
      <c r="B1098" s="191"/>
      <c r="C1098" s="191"/>
      <c r="D1098" s="192"/>
      <c r="E1098" s="329"/>
      <c r="F1098" s="330"/>
      <c r="G1098" s="330"/>
      <c r="H1098" s="330"/>
      <c r="I1098" s="330"/>
      <c r="J1098" s="330"/>
      <c r="K1098" s="330"/>
      <c r="L1098" s="330"/>
      <c r="M1098" s="330"/>
      <c r="N1098" s="330"/>
      <c r="O1098" s="330"/>
      <c r="P1098" s="330"/>
      <c r="Q1098" s="330"/>
      <c r="R1098" s="330"/>
      <c r="S1098" s="330"/>
      <c r="T1098" s="330"/>
      <c r="U1098" s="331"/>
      <c r="V1098" s="186"/>
      <c r="W1098" s="186"/>
    </row>
    <row r="1099" spans="1:23" ht="15.75">
      <c r="A1099" s="191"/>
      <c r="B1099" s="191"/>
      <c r="C1099" s="191"/>
      <c r="D1099" s="192"/>
      <c r="E1099" s="329"/>
      <c r="F1099" s="330"/>
      <c r="G1099" s="330"/>
      <c r="H1099" s="330"/>
      <c r="I1099" s="330"/>
      <c r="J1099" s="330"/>
      <c r="K1099" s="330"/>
      <c r="L1099" s="330"/>
      <c r="M1099" s="330"/>
      <c r="N1099" s="330"/>
      <c r="O1099" s="330"/>
      <c r="P1099" s="330"/>
      <c r="Q1099" s="330"/>
      <c r="R1099" s="330"/>
      <c r="S1099" s="330"/>
      <c r="T1099" s="330"/>
      <c r="U1099" s="331"/>
      <c r="V1099" s="186"/>
      <c r="W1099" s="186"/>
    </row>
    <row r="1100" spans="1:23" ht="15.75">
      <c r="A1100" s="191"/>
      <c r="B1100" s="191"/>
      <c r="C1100" s="191"/>
      <c r="D1100" s="192"/>
      <c r="E1100" s="329"/>
      <c r="F1100" s="330"/>
      <c r="G1100" s="330"/>
      <c r="H1100" s="330"/>
      <c r="I1100" s="330"/>
      <c r="J1100" s="330"/>
      <c r="K1100" s="330"/>
      <c r="L1100" s="330"/>
      <c r="M1100" s="330"/>
      <c r="N1100" s="330"/>
      <c r="O1100" s="330"/>
      <c r="P1100" s="330"/>
      <c r="Q1100" s="330"/>
      <c r="R1100" s="330"/>
      <c r="S1100" s="330"/>
      <c r="T1100" s="330"/>
      <c r="U1100" s="331"/>
      <c r="V1100" s="186"/>
      <c r="W1100" s="186"/>
    </row>
    <row r="1101" spans="1:23" ht="15.75">
      <c r="A1101" s="191"/>
      <c r="B1101" s="191"/>
      <c r="C1101" s="191"/>
      <c r="D1101" s="192"/>
      <c r="E1101" s="329"/>
      <c r="F1101" s="330"/>
      <c r="G1101" s="330"/>
      <c r="H1101" s="330"/>
      <c r="I1101" s="330"/>
      <c r="J1101" s="330"/>
      <c r="K1101" s="330"/>
      <c r="L1101" s="330"/>
      <c r="M1101" s="330"/>
      <c r="N1101" s="330"/>
      <c r="O1101" s="330"/>
      <c r="P1101" s="330"/>
      <c r="Q1101" s="330"/>
      <c r="R1101" s="330"/>
      <c r="S1101" s="330"/>
      <c r="T1101" s="330"/>
      <c r="U1101" s="331"/>
      <c r="V1101" s="186"/>
      <c r="W1101" s="186"/>
    </row>
    <row r="1102" spans="1:23" ht="15.75">
      <c r="A1102" s="191"/>
      <c r="B1102" s="191"/>
      <c r="C1102" s="191"/>
      <c r="D1102" s="192"/>
      <c r="E1102" s="329"/>
      <c r="F1102" s="330"/>
      <c r="G1102" s="330"/>
      <c r="H1102" s="330"/>
      <c r="I1102" s="330"/>
      <c r="J1102" s="330"/>
      <c r="K1102" s="330"/>
      <c r="L1102" s="330"/>
      <c r="M1102" s="330"/>
      <c r="N1102" s="330"/>
      <c r="O1102" s="330"/>
      <c r="P1102" s="330"/>
      <c r="Q1102" s="330"/>
      <c r="R1102" s="330"/>
      <c r="S1102" s="330"/>
      <c r="T1102" s="330"/>
      <c r="U1102" s="331"/>
      <c r="V1102" s="186"/>
      <c r="W1102" s="186"/>
    </row>
    <row r="1103" spans="1:23" ht="15.75">
      <c r="A1103" s="202"/>
      <c r="B1103" s="332"/>
      <c r="C1103" s="333"/>
      <c r="D1103" s="334"/>
      <c r="E1103" s="334"/>
      <c r="F1103" s="334"/>
      <c r="G1103" s="334"/>
      <c r="H1103" s="334"/>
      <c r="I1103" s="334"/>
      <c r="J1103" s="334"/>
      <c r="K1103" s="334"/>
      <c r="L1103" s="334"/>
      <c r="M1103" s="334"/>
      <c r="N1103" s="334"/>
      <c r="O1103" s="334"/>
      <c r="P1103" s="334"/>
      <c r="Q1103" s="334"/>
      <c r="R1103" s="334"/>
      <c r="S1103" s="334"/>
      <c r="T1103" s="334"/>
      <c r="U1103" s="335"/>
      <c r="V1103" s="186"/>
      <c r="W1103" s="52"/>
    </row>
    <row r="1104" spans="1:23" ht="15.75">
      <c r="A1104" s="191"/>
      <c r="B1104" s="191"/>
      <c r="C1104" s="191"/>
      <c r="D1104" s="192"/>
      <c r="E1104" s="329"/>
      <c r="F1104" s="330"/>
      <c r="G1104" s="330"/>
      <c r="H1104" s="330"/>
      <c r="I1104" s="330"/>
      <c r="J1104" s="330"/>
      <c r="K1104" s="330"/>
      <c r="L1104" s="330"/>
      <c r="M1104" s="330"/>
      <c r="N1104" s="330"/>
      <c r="O1104" s="330"/>
      <c r="P1104" s="330"/>
      <c r="Q1104" s="330"/>
      <c r="R1104" s="330"/>
      <c r="S1104" s="330"/>
      <c r="T1104" s="330"/>
      <c r="U1104" s="331"/>
      <c r="V1104" s="186"/>
      <c r="W1104" s="186"/>
    </row>
    <row r="1105" spans="1:23" ht="15.75">
      <c r="A1105" s="191"/>
      <c r="B1105" s="191"/>
      <c r="C1105" s="191"/>
      <c r="D1105" s="192"/>
      <c r="E1105" s="329"/>
      <c r="F1105" s="330"/>
      <c r="G1105" s="330"/>
      <c r="H1105" s="330"/>
      <c r="I1105" s="330"/>
      <c r="J1105" s="330"/>
      <c r="K1105" s="330"/>
      <c r="L1105" s="330"/>
      <c r="M1105" s="330"/>
      <c r="N1105" s="330"/>
      <c r="O1105" s="330"/>
      <c r="P1105" s="330"/>
      <c r="Q1105" s="330"/>
      <c r="R1105" s="330"/>
      <c r="S1105" s="330"/>
      <c r="T1105" s="330"/>
      <c r="U1105" s="331"/>
      <c r="V1105" s="186"/>
      <c r="W1105" s="186"/>
    </row>
    <row r="1106" spans="1:23" ht="15.75">
      <c r="A1106" s="191"/>
      <c r="B1106" s="191"/>
      <c r="C1106" s="191"/>
      <c r="D1106" s="192"/>
      <c r="E1106" s="329"/>
      <c r="F1106" s="330"/>
      <c r="G1106" s="330"/>
      <c r="H1106" s="330"/>
      <c r="I1106" s="330"/>
      <c r="J1106" s="330"/>
      <c r="K1106" s="330"/>
      <c r="L1106" s="330"/>
      <c r="M1106" s="330"/>
      <c r="N1106" s="330"/>
      <c r="O1106" s="330"/>
      <c r="P1106" s="330"/>
      <c r="Q1106" s="330"/>
      <c r="R1106" s="330"/>
      <c r="S1106" s="330"/>
      <c r="T1106" s="330"/>
      <c r="U1106" s="331"/>
      <c r="V1106" s="186"/>
      <c r="W1106" s="186"/>
    </row>
    <row r="1107" spans="1:23">
      <c r="A1107" s="191"/>
      <c r="B1107" s="191"/>
      <c r="C1107" s="191"/>
      <c r="D1107" s="192"/>
      <c r="E1107" s="193"/>
      <c r="F1107" s="194"/>
      <c r="G1107" s="194"/>
      <c r="H1107" s="195"/>
      <c r="I1107" s="196"/>
      <c r="J1107" s="197"/>
      <c r="K1107" s="193"/>
      <c r="L1107" s="198"/>
      <c r="M1107" s="199"/>
      <c r="N1107" s="194"/>
      <c r="O1107" s="193"/>
      <c r="P1107" s="193"/>
      <c r="Q1107" s="200"/>
      <c r="R1107" s="201"/>
      <c r="S1107" s="201"/>
      <c r="T1107" s="197"/>
      <c r="U1107" s="201"/>
      <c r="V1107" s="186"/>
      <c r="W1107" s="186"/>
    </row>
    <row r="1108" spans="1:23" ht="15.75">
      <c r="A1108" s="191"/>
      <c r="B1108" s="191"/>
      <c r="C1108" s="191"/>
      <c r="D1108" s="192"/>
      <c r="E1108" s="329"/>
      <c r="F1108" s="330"/>
      <c r="G1108" s="330"/>
      <c r="H1108" s="330"/>
      <c r="I1108" s="330"/>
      <c r="J1108" s="330"/>
      <c r="K1108" s="330"/>
      <c r="L1108" s="330"/>
      <c r="M1108" s="330"/>
      <c r="N1108" s="330"/>
      <c r="O1108" s="330"/>
      <c r="P1108" s="330"/>
      <c r="Q1108" s="330"/>
      <c r="R1108" s="330"/>
      <c r="S1108" s="330"/>
      <c r="T1108" s="330"/>
      <c r="U1108" s="331"/>
      <c r="V1108" s="186"/>
      <c r="W1108" s="186"/>
    </row>
    <row r="1109" spans="1:23">
      <c r="A1109" s="191"/>
      <c r="B1109" s="191"/>
      <c r="C1109" s="191"/>
      <c r="D1109" s="192"/>
      <c r="E1109" s="193"/>
      <c r="F1109" s="194"/>
      <c r="G1109" s="194"/>
      <c r="H1109" s="195"/>
      <c r="I1109" s="196"/>
      <c r="J1109" s="197"/>
      <c r="K1109" s="193"/>
      <c r="L1109" s="198"/>
      <c r="M1109" s="199"/>
      <c r="N1109" s="194"/>
      <c r="O1109" s="193"/>
      <c r="P1109" s="193"/>
      <c r="Q1109" s="200"/>
      <c r="R1109" s="201"/>
      <c r="S1109" s="201"/>
      <c r="T1109" s="197"/>
      <c r="U1109" s="201"/>
      <c r="V1109" s="186"/>
      <c r="W1109" s="186"/>
    </row>
    <row r="1110" spans="1:23" ht="15.75">
      <c r="A1110" s="191"/>
      <c r="B1110" s="191"/>
      <c r="C1110" s="191"/>
      <c r="D1110" s="192"/>
      <c r="E1110" s="329"/>
      <c r="F1110" s="330"/>
      <c r="G1110" s="330"/>
      <c r="H1110" s="330"/>
      <c r="I1110" s="330"/>
      <c r="J1110" s="330"/>
      <c r="K1110" s="330"/>
      <c r="L1110" s="330"/>
      <c r="M1110" s="330"/>
      <c r="N1110" s="330"/>
      <c r="O1110" s="330"/>
      <c r="P1110" s="330"/>
      <c r="Q1110" s="330"/>
      <c r="R1110" s="330"/>
      <c r="S1110" s="330"/>
      <c r="T1110" s="330"/>
      <c r="U1110" s="331"/>
      <c r="V1110" s="186"/>
      <c r="W1110" s="186"/>
    </row>
    <row r="1111" spans="1:23">
      <c r="A1111" s="191"/>
      <c r="B1111" s="191"/>
      <c r="C1111" s="191"/>
      <c r="D1111" s="192"/>
      <c r="E1111" s="193"/>
      <c r="F1111" s="194"/>
      <c r="G1111" s="194"/>
      <c r="H1111" s="195"/>
      <c r="I1111" s="196"/>
      <c r="J1111" s="197"/>
      <c r="K1111" s="193"/>
      <c r="L1111" s="198"/>
      <c r="M1111" s="199"/>
      <c r="N1111" s="194"/>
      <c r="O1111" s="193"/>
      <c r="P1111" s="193"/>
      <c r="Q1111" s="200"/>
      <c r="R1111" s="201"/>
      <c r="S1111" s="201"/>
      <c r="T1111" s="197"/>
      <c r="U1111" s="201"/>
      <c r="V1111" s="186"/>
      <c r="W1111" s="186"/>
    </row>
    <row r="1112" spans="1:23" ht="15.75">
      <c r="A1112" s="191"/>
      <c r="B1112" s="191"/>
      <c r="C1112" s="191"/>
      <c r="D1112" s="192"/>
      <c r="E1112" s="329"/>
      <c r="F1112" s="330"/>
      <c r="G1112" s="330"/>
      <c r="H1112" s="330"/>
      <c r="I1112" s="330"/>
      <c r="J1112" s="330"/>
      <c r="K1112" s="330"/>
      <c r="L1112" s="330"/>
      <c r="M1112" s="330"/>
      <c r="N1112" s="330"/>
      <c r="O1112" s="330"/>
      <c r="P1112" s="330"/>
      <c r="Q1112" s="330"/>
      <c r="R1112" s="330"/>
      <c r="S1112" s="330"/>
      <c r="T1112" s="330"/>
      <c r="U1112" s="331"/>
      <c r="V1112" s="186"/>
      <c r="W1112" s="186"/>
    </row>
    <row r="1113" spans="1:23" ht="15.75">
      <c r="A1113" s="191"/>
      <c r="B1113" s="191"/>
      <c r="C1113" s="191"/>
      <c r="D1113" s="192"/>
      <c r="E1113" s="329"/>
      <c r="F1113" s="330"/>
      <c r="G1113" s="330"/>
      <c r="H1113" s="330"/>
      <c r="I1113" s="330"/>
      <c r="J1113" s="330"/>
      <c r="K1113" s="330"/>
      <c r="L1113" s="330"/>
      <c r="M1113" s="330"/>
      <c r="N1113" s="330"/>
      <c r="O1113" s="330"/>
      <c r="P1113" s="330"/>
      <c r="Q1113" s="330"/>
      <c r="R1113" s="330"/>
      <c r="S1113" s="330"/>
      <c r="T1113" s="330"/>
      <c r="U1113" s="331"/>
      <c r="V1113" s="186"/>
      <c r="W1113" s="186"/>
    </row>
    <row r="1114" spans="1:23" ht="15.75">
      <c r="A1114" s="191"/>
      <c r="B1114" s="191"/>
      <c r="C1114" s="191"/>
      <c r="D1114" s="192"/>
      <c r="E1114" s="329"/>
      <c r="F1114" s="330"/>
      <c r="G1114" s="330"/>
      <c r="H1114" s="330"/>
      <c r="I1114" s="330"/>
      <c r="J1114" s="330"/>
      <c r="K1114" s="330"/>
      <c r="L1114" s="330"/>
      <c r="M1114" s="330"/>
      <c r="N1114" s="330"/>
      <c r="O1114" s="330"/>
      <c r="P1114" s="330"/>
      <c r="Q1114" s="330"/>
      <c r="R1114" s="330"/>
      <c r="S1114" s="330"/>
      <c r="T1114" s="330"/>
      <c r="U1114" s="331"/>
      <c r="V1114" s="186"/>
      <c r="W1114" s="186"/>
    </row>
    <row r="1115" spans="1:23" ht="15.75">
      <c r="A1115" s="191"/>
      <c r="B1115" s="191"/>
      <c r="C1115" s="191"/>
      <c r="D1115" s="192"/>
      <c r="E1115" s="329"/>
      <c r="F1115" s="330"/>
      <c r="G1115" s="330"/>
      <c r="H1115" s="330"/>
      <c r="I1115" s="330"/>
      <c r="J1115" s="330"/>
      <c r="K1115" s="330"/>
      <c r="L1115" s="330"/>
      <c r="M1115" s="330"/>
      <c r="N1115" s="330"/>
      <c r="O1115" s="330"/>
      <c r="P1115" s="330"/>
      <c r="Q1115" s="330"/>
      <c r="R1115" s="330"/>
      <c r="S1115" s="330"/>
      <c r="T1115" s="330"/>
      <c r="U1115" s="331"/>
      <c r="V1115" s="186"/>
      <c r="W1115" s="186"/>
    </row>
    <row r="1116" spans="1:23" ht="15.75">
      <c r="A1116" s="191"/>
      <c r="B1116" s="191"/>
      <c r="C1116" s="191"/>
      <c r="D1116" s="192"/>
      <c r="E1116" s="329"/>
      <c r="F1116" s="330"/>
      <c r="G1116" s="330"/>
      <c r="H1116" s="330"/>
      <c r="I1116" s="330"/>
      <c r="J1116" s="330"/>
      <c r="K1116" s="330"/>
      <c r="L1116" s="330"/>
      <c r="M1116" s="330"/>
      <c r="N1116" s="330"/>
      <c r="O1116" s="330"/>
      <c r="P1116" s="330"/>
      <c r="Q1116" s="330"/>
      <c r="R1116" s="330"/>
      <c r="S1116" s="330"/>
      <c r="T1116" s="330"/>
      <c r="U1116" s="331"/>
      <c r="V1116" s="186"/>
      <c r="W1116" s="186"/>
    </row>
    <row r="1117" spans="1:23" ht="15.75">
      <c r="A1117" s="191"/>
      <c r="B1117" s="191"/>
      <c r="C1117" s="191"/>
      <c r="D1117" s="192"/>
      <c r="E1117" s="329"/>
      <c r="F1117" s="330"/>
      <c r="G1117" s="330"/>
      <c r="H1117" s="330"/>
      <c r="I1117" s="330"/>
      <c r="J1117" s="330"/>
      <c r="K1117" s="330"/>
      <c r="L1117" s="330"/>
      <c r="M1117" s="330"/>
      <c r="N1117" s="330"/>
      <c r="O1117" s="330"/>
      <c r="P1117" s="330"/>
      <c r="Q1117" s="330"/>
      <c r="R1117" s="330"/>
      <c r="S1117" s="330"/>
      <c r="T1117" s="330"/>
      <c r="U1117" s="331"/>
      <c r="V1117" s="186"/>
      <c r="W1117" s="186"/>
    </row>
    <row r="1118" spans="1:23" ht="15.75">
      <c r="A1118" s="191"/>
      <c r="B1118" s="191"/>
      <c r="C1118" s="191"/>
      <c r="D1118" s="192"/>
      <c r="E1118" s="329"/>
      <c r="F1118" s="330"/>
      <c r="G1118" s="330"/>
      <c r="H1118" s="330"/>
      <c r="I1118" s="330"/>
      <c r="J1118" s="330"/>
      <c r="K1118" s="330"/>
      <c r="L1118" s="330"/>
      <c r="M1118" s="330"/>
      <c r="N1118" s="330"/>
      <c r="O1118" s="330"/>
      <c r="P1118" s="330"/>
      <c r="Q1118" s="330"/>
      <c r="R1118" s="330"/>
      <c r="S1118" s="330"/>
      <c r="T1118" s="330"/>
      <c r="U1118" s="331"/>
      <c r="V1118" s="186"/>
      <c r="W1118" s="186"/>
    </row>
    <row r="1119" spans="1:23" ht="15.75">
      <c r="A1119" s="191"/>
      <c r="B1119" s="191"/>
      <c r="C1119" s="191"/>
      <c r="D1119" s="192"/>
      <c r="E1119" s="329"/>
      <c r="F1119" s="330"/>
      <c r="G1119" s="330"/>
      <c r="H1119" s="330"/>
      <c r="I1119" s="330"/>
      <c r="J1119" s="330"/>
      <c r="K1119" s="330"/>
      <c r="L1119" s="330"/>
      <c r="M1119" s="330"/>
      <c r="N1119" s="330"/>
      <c r="O1119" s="330"/>
      <c r="P1119" s="330"/>
      <c r="Q1119" s="330"/>
      <c r="R1119" s="330"/>
      <c r="S1119" s="330"/>
      <c r="T1119" s="330"/>
      <c r="U1119" s="331"/>
      <c r="V1119" s="186"/>
      <c r="W1119" s="186"/>
    </row>
    <row r="1120" spans="1:23">
      <c r="A1120" s="191"/>
      <c r="B1120" s="191"/>
      <c r="C1120" s="191"/>
      <c r="D1120" s="192"/>
      <c r="E1120" s="193"/>
      <c r="F1120" s="194"/>
      <c r="G1120" s="194"/>
      <c r="H1120" s="195"/>
      <c r="I1120" s="196"/>
      <c r="J1120" s="197"/>
      <c r="K1120" s="193"/>
      <c r="L1120" s="198"/>
      <c r="M1120" s="199"/>
      <c r="N1120" s="194"/>
      <c r="O1120" s="193"/>
      <c r="P1120" s="193"/>
      <c r="Q1120" s="200"/>
      <c r="R1120" s="201"/>
      <c r="S1120" s="201"/>
      <c r="T1120" s="197"/>
      <c r="U1120" s="201"/>
      <c r="V1120" s="186"/>
      <c r="W1120" s="186"/>
    </row>
    <row r="1121" spans="1:23" ht="15.75">
      <c r="A1121" s="191"/>
      <c r="B1121" s="191"/>
      <c r="C1121" s="191"/>
      <c r="D1121" s="192"/>
      <c r="E1121" s="329"/>
      <c r="F1121" s="330"/>
      <c r="G1121" s="330"/>
      <c r="H1121" s="330"/>
      <c r="I1121" s="330"/>
      <c r="J1121" s="330"/>
      <c r="K1121" s="330"/>
      <c r="L1121" s="330"/>
      <c r="M1121" s="330"/>
      <c r="N1121" s="330"/>
      <c r="O1121" s="330"/>
      <c r="P1121" s="330"/>
      <c r="Q1121" s="330"/>
      <c r="R1121" s="330"/>
      <c r="S1121" s="330"/>
      <c r="T1121" s="330"/>
      <c r="U1121" s="331"/>
      <c r="V1121" s="186"/>
      <c r="W1121" s="186"/>
    </row>
    <row r="1122" spans="1:23" ht="15.75">
      <c r="A1122" s="191"/>
      <c r="B1122" s="191"/>
      <c r="C1122" s="191"/>
      <c r="D1122" s="192"/>
      <c r="E1122" s="329"/>
      <c r="F1122" s="330"/>
      <c r="G1122" s="330"/>
      <c r="H1122" s="330"/>
      <c r="I1122" s="330"/>
      <c r="J1122" s="330"/>
      <c r="K1122" s="330"/>
      <c r="L1122" s="330"/>
      <c r="M1122" s="330"/>
      <c r="N1122" s="330"/>
      <c r="O1122" s="330"/>
      <c r="P1122" s="330"/>
      <c r="Q1122" s="330"/>
      <c r="R1122" s="330"/>
      <c r="S1122" s="330"/>
      <c r="T1122" s="330"/>
      <c r="U1122" s="331"/>
      <c r="V1122" s="186"/>
      <c r="W1122" s="186"/>
    </row>
    <row r="1123" spans="1:23" ht="15.75">
      <c r="A1123" s="191"/>
      <c r="B1123" s="191"/>
      <c r="C1123" s="191"/>
      <c r="D1123" s="192"/>
      <c r="E1123" s="329"/>
      <c r="F1123" s="330"/>
      <c r="G1123" s="330"/>
      <c r="H1123" s="330"/>
      <c r="I1123" s="330"/>
      <c r="J1123" s="330"/>
      <c r="K1123" s="330"/>
      <c r="L1123" s="330"/>
      <c r="M1123" s="330"/>
      <c r="N1123" s="330"/>
      <c r="O1123" s="330"/>
      <c r="P1123" s="330"/>
      <c r="Q1123" s="330"/>
      <c r="R1123" s="330"/>
      <c r="S1123" s="330"/>
      <c r="T1123" s="330"/>
      <c r="U1123" s="331"/>
      <c r="V1123" s="186"/>
      <c r="W1123" s="186"/>
    </row>
    <row r="1124" spans="1:23" ht="15.75">
      <c r="A1124" s="191"/>
      <c r="B1124" s="191"/>
      <c r="C1124" s="191"/>
      <c r="D1124" s="192"/>
      <c r="E1124" s="329"/>
      <c r="F1124" s="330"/>
      <c r="G1124" s="330"/>
      <c r="H1124" s="330"/>
      <c r="I1124" s="330"/>
      <c r="J1124" s="330"/>
      <c r="K1124" s="330"/>
      <c r="L1124" s="330"/>
      <c r="M1124" s="330"/>
      <c r="N1124" s="330"/>
      <c r="O1124" s="330"/>
      <c r="P1124" s="330"/>
      <c r="Q1124" s="330"/>
      <c r="R1124" s="330"/>
      <c r="S1124" s="330"/>
      <c r="T1124" s="330"/>
      <c r="U1124" s="331"/>
      <c r="V1124" s="186"/>
      <c r="W1124" s="186"/>
    </row>
    <row r="1125" spans="1:23" ht="15.75">
      <c r="A1125" s="191"/>
      <c r="B1125" s="191"/>
      <c r="C1125" s="191"/>
      <c r="D1125" s="192"/>
      <c r="E1125" s="329"/>
      <c r="F1125" s="330"/>
      <c r="G1125" s="330"/>
      <c r="H1125" s="330"/>
      <c r="I1125" s="330"/>
      <c r="J1125" s="330"/>
      <c r="K1125" s="330"/>
      <c r="L1125" s="330"/>
      <c r="M1125" s="330"/>
      <c r="N1125" s="330"/>
      <c r="O1125" s="330"/>
      <c r="P1125" s="330"/>
      <c r="Q1125" s="330"/>
      <c r="R1125" s="330"/>
      <c r="S1125" s="330"/>
      <c r="T1125" s="330"/>
      <c r="U1125" s="331"/>
      <c r="V1125" s="186"/>
      <c r="W1125" s="186"/>
    </row>
    <row r="1126" spans="1:23">
      <c r="A1126" s="191"/>
      <c r="B1126" s="191"/>
      <c r="C1126" s="191"/>
      <c r="D1126" s="192"/>
      <c r="E1126" s="193"/>
      <c r="F1126" s="194"/>
      <c r="G1126" s="194"/>
      <c r="H1126" s="195"/>
      <c r="I1126" s="196"/>
      <c r="J1126" s="197"/>
      <c r="K1126" s="193"/>
      <c r="L1126" s="198"/>
      <c r="M1126" s="199"/>
      <c r="N1126" s="194"/>
      <c r="O1126" s="193"/>
      <c r="P1126" s="193"/>
      <c r="Q1126" s="200"/>
      <c r="R1126" s="201"/>
      <c r="S1126" s="201"/>
      <c r="T1126" s="197"/>
      <c r="U1126" s="201"/>
      <c r="V1126" s="186"/>
      <c r="W1126" s="186"/>
    </row>
    <row r="1127" spans="1:23" ht="15.75">
      <c r="A1127" s="191"/>
      <c r="B1127" s="191"/>
      <c r="C1127" s="191"/>
      <c r="D1127" s="192"/>
      <c r="E1127" s="329"/>
      <c r="F1127" s="330"/>
      <c r="G1127" s="330"/>
      <c r="H1127" s="330"/>
      <c r="I1127" s="330"/>
      <c r="J1127" s="330"/>
      <c r="K1127" s="330"/>
      <c r="L1127" s="330"/>
      <c r="M1127" s="330"/>
      <c r="N1127" s="330"/>
      <c r="O1127" s="330"/>
      <c r="P1127" s="330"/>
      <c r="Q1127" s="330"/>
      <c r="R1127" s="330"/>
      <c r="S1127" s="330"/>
      <c r="T1127" s="330"/>
      <c r="U1127" s="331"/>
      <c r="V1127" s="186"/>
      <c r="W1127" s="186"/>
    </row>
    <row r="1128" spans="1:23" ht="15.75">
      <c r="A1128" s="191"/>
      <c r="B1128" s="191"/>
      <c r="C1128" s="191"/>
      <c r="D1128" s="192"/>
      <c r="E1128" s="329"/>
      <c r="F1128" s="330"/>
      <c r="G1128" s="330"/>
      <c r="H1128" s="330"/>
      <c r="I1128" s="330"/>
      <c r="J1128" s="330"/>
      <c r="K1128" s="330"/>
      <c r="L1128" s="330"/>
      <c r="M1128" s="330"/>
      <c r="N1128" s="330"/>
      <c r="O1128" s="330"/>
      <c r="P1128" s="330"/>
      <c r="Q1128" s="330"/>
      <c r="R1128" s="330"/>
      <c r="S1128" s="330"/>
      <c r="T1128" s="330"/>
      <c r="U1128" s="331"/>
      <c r="V1128" s="186"/>
      <c r="W1128" s="186"/>
    </row>
    <row r="1129" spans="1:23">
      <c r="A1129" s="191"/>
      <c r="B1129" s="191"/>
      <c r="C1129" s="191"/>
      <c r="D1129" s="192"/>
      <c r="E1129" s="193"/>
      <c r="F1129" s="194"/>
      <c r="G1129" s="194"/>
      <c r="H1129" s="195"/>
      <c r="I1129" s="196"/>
      <c r="J1129" s="197"/>
      <c r="K1129" s="193"/>
      <c r="L1129" s="198"/>
      <c r="M1129" s="199"/>
      <c r="N1129" s="194"/>
      <c r="O1129" s="193"/>
      <c r="P1129" s="193"/>
      <c r="Q1129" s="200"/>
      <c r="R1129" s="201"/>
      <c r="S1129" s="201"/>
      <c r="T1129" s="197"/>
      <c r="U1129" s="201"/>
      <c r="V1129" s="186"/>
      <c r="W1129" s="186"/>
    </row>
    <row r="1130" spans="1:23" ht="15.75">
      <c r="A1130" s="191"/>
      <c r="B1130" s="191"/>
      <c r="C1130" s="191"/>
      <c r="D1130" s="192"/>
      <c r="E1130" s="329"/>
      <c r="F1130" s="330"/>
      <c r="G1130" s="330"/>
      <c r="H1130" s="330"/>
      <c r="I1130" s="330"/>
      <c r="J1130" s="330"/>
      <c r="K1130" s="330"/>
      <c r="L1130" s="330"/>
      <c r="M1130" s="330"/>
      <c r="N1130" s="330"/>
      <c r="O1130" s="330"/>
      <c r="P1130" s="330"/>
      <c r="Q1130" s="330"/>
      <c r="R1130" s="330"/>
      <c r="S1130" s="330"/>
      <c r="T1130" s="330"/>
      <c r="U1130" s="331"/>
      <c r="V1130" s="186"/>
      <c r="W1130" s="186"/>
    </row>
    <row r="1131" spans="1:23" ht="15.75">
      <c r="A1131" s="191"/>
      <c r="B1131" s="191"/>
      <c r="C1131" s="191"/>
      <c r="D1131" s="192"/>
      <c r="E1131" s="329"/>
      <c r="F1131" s="330"/>
      <c r="G1131" s="330"/>
      <c r="H1131" s="330"/>
      <c r="I1131" s="330"/>
      <c r="J1131" s="330"/>
      <c r="K1131" s="330"/>
      <c r="L1131" s="330"/>
      <c r="M1131" s="330"/>
      <c r="N1131" s="330"/>
      <c r="O1131" s="330"/>
      <c r="P1131" s="330"/>
      <c r="Q1131" s="330"/>
      <c r="R1131" s="330"/>
      <c r="S1131" s="330"/>
      <c r="T1131" s="330"/>
      <c r="U1131" s="331"/>
      <c r="V1131" s="186"/>
      <c r="W1131" s="186"/>
    </row>
    <row r="1132" spans="1:23" ht="15.75">
      <c r="A1132" s="202"/>
      <c r="B1132" s="332"/>
      <c r="C1132" s="333"/>
      <c r="D1132" s="334"/>
      <c r="E1132" s="334"/>
      <c r="F1132" s="334"/>
      <c r="G1132" s="334"/>
      <c r="H1132" s="334"/>
      <c r="I1132" s="334"/>
      <c r="J1132" s="334"/>
      <c r="K1132" s="334"/>
      <c r="L1132" s="334"/>
      <c r="M1132" s="334"/>
      <c r="N1132" s="334"/>
      <c r="O1132" s="334"/>
      <c r="P1132" s="334"/>
      <c r="Q1132" s="334"/>
      <c r="R1132" s="334"/>
      <c r="S1132" s="334"/>
      <c r="T1132" s="334"/>
      <c r="U1132" s="335"/>
      <c r="V1132" s="186"/>
      <c r="W1132" s="52"/>
    </row>
    <row r="1133" spans="1:23" ht="15.75">
      <c r="A1133" s="191"/>
      <c r="B1133" s="191"/>
      <c r="C1133" s="191"/>
      <c r="D1133" s="192"/>
      <c r="E1133" s="329"/>
      <c r="F1133" s="330"/>
      <c r="G1133" s="330"/>
      <c r="H1133" s="330"/>
      <c r="I1133" s="330"/>
      <c r="J1133" s="330"/>
      <c r="K1133" s="330"/>
      <c r="L1133" s="330"/>
      <c r="M1133" s="330"/>
      <c r="N1133" s="330"/>
      <c r="O1133" s="330"/>
      <c r="P1133" s="330"/>
      <c r="Q1133" s="330"/>
      <c r="R1133" s="330"/>
      <c r="S1133" s="330"/>
      <c r="T1133" s="330"/>
      <c r="U1133" s="331"/>
      <c r="V1133" s="186"/>
      <c r="W1133" s="186"/>
    </row>
    <row r="1134" spans="1:23" ht="15.75">
      <c r="A1134" s="191"/>
      <c r="B1134" s="191"/>
      <c r="C1134" s="191"/>
      <c r="D1134" s="192"/>
      <c r="E1134" s="329"/>
      <c r="F1134" s="330"/>
      <c r="G1134" s="330"/>
      <c r="H1134" s="330"/>
      <c r="I1134" s="330"/>
      <c r="J1134" s="330"/>
      <c r="K1134" s="330"/>
      <c r="L1134" s="330"/>
      <c r="M1134" s="330"/>
      <c r="N1134" s="330"/>
      <c r="O1134" s="330"/>
      <c r="P1134" s="330"/>
      <c r="Q1134" s="330"/>
      <c r="R1134" s="330"/>
      <c r="S1134" s="330"/>
      <c r="T1134" s="330"/>
      <c r="U1134" s="331"/>
      <c r="V1134" s="186"/>
      <c r="W1134" s="186"/>
    </row>
    <row r="1135" spans="1:23" ht="15.75">
      <c r="A1135" s="191"/>
      <c r="B1135" s="191"/>
      <c r="C1135" s="191"/>
      <c r="D1135" s="192"/>
      <c r="E1135" s="329"/>
      <c r="F1135" s="330"/>
      <c r="G1135" s="330"/>
      <c r="H1135" s="330"/>
      <c r="I1135" s="330"/>
      <c r="J1135" s="330"/>
      <c r="K1135" s="330"/>
      <c r="L1135" s="330"/>
      <c r="M1135" s="330"/>
      <c r="N1135" s="330"/>
      <c r="O1135" s="330"/>
      <c r="P1135" s="330"/>
      <c r="Q1135" s="330"/>
      <c r="R1135" s="330"/>
      <c r="S1135" s="330"/>
      <c r="T1135" s="330"/>
      <c r="U1135" s="331"/>
      <c r="V1135" s="186"/>
      <c r="W1135" s="186"/>
    </row>
    <row r="1136" spans="1:23">
      <c r="A1136" s="191"/>
      <c r="B1136" s="191"/>
      <c r="C1136" s="191"/>
      <c r="D1136" s="192"/>
      <c r="E1136" s="193"/>
      <c r="F1136" s="194"/>
      <c r="G1136" s="194"/>
      <c r="H1136" s="195"/>
      <c r="I1136" s="196"/>
      <c r="J1136" s="197"/>
      <c r="K1136" s="193"/>
      <c r="L1136" s="198"/>
      <c r="M1136" s="199"/>
      <c r="N1136" s="194"/>
      <c r="O1136" s="193"/>
      <c r="P1136" s="193"/>
      <c r="Q1136" s="200"/>
      <c r="R1136" s="201"/>
      <c r="S1136" s="201"/>
      <c r="T1136" s="197"/>
      <c r="U1136" s="201"/>
      <c r="V1136" s="186"/>
      <c r="W1136" s="186"/>
    </row>
    <row r="1137" spans="1:23" ht="15.75">
      <c r="A1137" s="191"/>
      <c r="B1137" s="191"/>
      <c r="C1137" s="191"/>
      <c r="D1137" s="192"/>
      <c r="E1137" s="329"/>
      <c r="F1137" s="330"/>
      <c r="G1137" s="330"/>
      <c r="H1137" s="330"/>
      <c r="I1137" s="330"/>
      <c r="J1137" s="330"/>
      <c r="K1137" s="330"/>
      <c r="L1137" s="330"/>
      <c r="M1137" s="330"/>
      <c r="N1137" s="330"/>
      <c r="O1137" s="330"/>
      <c r="P1137" s="330"/>
      <c r="Q1137" s="330"/>
      <c r="R1137" s="330"/>
      <c r="S1137" s="330"/>
      <c r="T1137" s="330"/>
      <c r="U1137" s="331"/>
      <c r="V1137" s="186"/>
      <c r="W1137" s="186"/>
    </row>
    <row r="1138" spans="1:23" ht="15.75">
      <c r="A1138" s="191"/>
      <c r="B1138" s="191"/>
      <c r="C1138" s="191"/>
      <c r="D1138" s="192"/>
      <c r="E1138" s="329"/>
      <c r="F1138" s="330"/>
      <c r="G1138" s="330"/>
      <c r="H1138" s="330"/>
      <c r="I1138" s="330"/>
      <c r="J1138" s="330"/>
      <c r="K1138" s="330"/>
      <c r="L1138" s="330"/>
      <c r="M1138" s="330"/>
      <c r="N1138" s="330"/>
      <c r="O1138" s="330"/>
      <c r="P1138" s="330"/>
      <c r="Q1138" s="330"/>
      <c r="R1138" s="330"/>
      <c r="S1138" s="330"/>
      <c r="T1138" s="330"/>
      <c r="U1138" s="331"/>
      <c r="V1138" s="186"/>
      <c r="W1138" s="186"/>
    </row>
    <row r="1139" spans="1:23" ht="15.75">
      <c r="A1139" s="191"/>
      <c r="B1139" s="191"/>
      <c r="C1139" s="191"/>
      <c r="D1139" s="192"/>
      <c r="E1139" s="329"/>
      <c r="F1139" s="330"/>
      <c r="G1139" s="330"/>
      <c r="H1139" s="330"/>
      <c r="I1139" s="330"/>
      <c r="J1139" s="330"/>
      <c r="K1139" s="330"/>
      <c r="L1139" s="330"/>
      <c r="M1139" s="330"/>
      <c r="N1139" s="330"/>
      <c r="O1139" s="330"/>
      <c r="P1139" s="330"/>
      <c r="Q1139" s="330"/>
      <c r="R1139" s="330"/>
      <c r="S1139" s="330"/>
      <c r="T1139" s="330"/>
      <c r="U1139" s="331"/>
      <c r="V1139" s="186"/>
      <c r="W1139" s="186"/>
    </row>
    <row r="1140" spans="1:23">
      <c r="A1140" s="191"/>
      <c r="B1140" s="191"/>
      <c r="C1140" s="191"/>
      <c r="D1140" s="192"/>
      <c r="E1140" s="193"/>
      <c r="F1140" s="194"/>
      <c r="G1140" s="194"/>
      <c r="H1140" s="195"/>
      <c r="I1140" s="196"/>
      <c r="J1140" s="197"/>
      <c r="K1140" s="193"/>
      <c r="L1140" s="198"/>
      <c r="M1140" s="199"/>
      <c r="N1140" s="194"/>
      <c r="O1140" s="193"/>
      <c r="P1140" s="193"/>
      <c r="Q1140" s="200"/>
      <c r="R1140" s="201"/>
      <c r="S1140" s="201"/>
      <c r="T1140" s="197"/>
      <c r="U1140" s="201"/>
      <c r="V1140" s="186"/>
      <c r="W1140" s="186"/>
    </row>
    <row r="1141" spans="1:23" ht="15.75">
      <c r="A1141" s="191"/>
      <c r="B1141" s="191"/>
      <c r="C1141" s="191"/>
      <c r="D1141" s="192"/>
      <c r="E1141" s="329"/>
      <c r="F1141" s="330"/>
      <c r="G1141" s="330"/>
      <c r="H1141" s="330"/>
      <c r="I1141" s="330"/>
      <c r="J1141" s="330"/>
      <c r="K1141" s="330"/>
      <c r="L1141" s="330"/>
      <c r="M1141" s="330"/>
      <c r="N1141" s="330"/>
      <c r="O1141" s="330"/>
      <c r="P1141" s="330"/>
      <c r="Q1141" s="330"/>
      <c r="R1141" s="330"/>
      <c r="S1141" s="330"/>
      <c r="T1141" s="330"/>
      <c r="U1141" s="331"/>
      <c r="V1141" s="186"/>
      <c r="W1141" s="186"/>
    </row>
    <row r="1142" spans="1:23" ht="15.75">
      <c r="A1142" s="191"/>
      <c r="B1142" s="191"/>
      <c r="C1142" s="191"/>
      <c r="D1142" s="192"/>
      <c r="E1142" s="329"/>
      <c r="F1142" s="330"/>
      <c r="G1142" s="330"/>
      <c r="H1142" s="330"/>
      <c r="I1142" s="330"/>
      <c r="J1142" s="330"/>
      <c r="K1142" s="330"/>
      <c r="L1142" s="330"/>
      <c r="M1142" s="330"/>
      <c r="N1142" s="330"/>
      <c r="O1142" s="330"/>
      <c r="P1142" s="330"/>
      <c r="Q1142" s="330"/>
      <c r="R1142" s="330"/>
      <c r="S1142" s="330"/>
      <c r="T1142" s="330"/>
      <c r="U1142" s="331"/>
      <c r="V1142" s="186"/>
      <c r="W1142" s="186"/>
    </row>
    <row r="1143" spans="1:23" ht="15.75">
      <c r="A1143" s="191"/>
      <c r="B1143" s="191"/>
      <c r="C1143" s="191"/>
      <c r="D1143" s="192"/>
      <c r="E1143" s="329"/>
      <c r="F1143" s="330"/>
      <c r="G1143" s="330"/>
      <c r="H1143" s="330"/>
      <c r="I1143" s="330"/>
      <c r="J1143" s="330"/>
      <c r="K1143" s="330"/>
      <c r="L1143" s="330"/>
      <c r="M1143" s="330"/>
      <c r="N1143" s="330"/>
      <c r="O1143" s="330"/>
      <c r="P1143" s="330"/>
      <c r="Q1143" s="330"/>
      <c r="R1143" s="330"/>
      <c r="S1143" s="330"/>
      <c r="T1143" s="330"/>
      <c r="U1143" s="331"/>
      <c r="V1143" s="186"/>
      <c r="W1143" s="186"/>
    </row>
    <row r="1144" spans="1:23">
      <c r="A1144" s="191"/>
      <c r="B1144" s="191"/>
      <c r="C1144" s="191"/>
      <c r="D1144" s="192"/>
      <c r="E1144" s="193"/>
      <c r="F1144" s="194"/>
      <c r="G1144" s="194"/>
      <c r="H1144" s="195"/>
      <c r="I1144" s="196"/>
      <c r="J1144" s="197"/>
      <c r="K1144" s="193"/>
      <c r="L1144" s="198"/>
      <c r="M1144" s="199"/>
      <c r="N1144" s="194"/>
      <c r="O1144" s="193"/>
      <c r="P1144" s="193"/>
      <c r="Q1144" s="200"/>
      <c r="R1144" s="201"/>
      <c r="S1144" s="201"/>
      <c r="T1144" s="197"/>
      <c r="U1144" s="201"/>
      <c r="V1144" s="186"/>
      <c r="W1144" s="186"/>
    </row>
    <row r="1145" spans="1:23" ht="15.75">
      <c r="A1145" s="191"/>
      <c r="B1145" s="191"/>
      <c r="C1145" s="191"/>
      <c r="D1145" s="192"/>
      <c r="E1145" s="329"/>
      <c r="F1145" s="330"/>
      <c r="G1145" s="330"/>
      <c r="H1145" s="330"/>
      <c r="I1145" s="330"/>
      <c r="J1145" s="330"/>
      <c r="K1145" s="330"/>
      <c r="L1145" s="330"/>
      <c r="M1145" s="330"/>
      <c r="N1145" s="330"/>
      <c r="O1145" s="330"/>
      <c r="P1145" s="330"/>
      <c r="Q1145" s="330"/>
      <c r="R1145" s="330"/>
      <c r="S1145" s="330"/>
      <c r="T1145" s="330"/>
      <c r="U1145" s="331"/>
      <c r="V1145" s="186"/>
      <c r="W1145" s="186"/>
    </row>
    <row r="1146" spans="1:23">
      <c r="A1146" s="191"/>
      <c r="B1146" s="191"/>
      <c r="C1146" s="191"/>
      <c r="D1146" s="192"/>
      <c r="E1146" s="193"/>
      <c r="F1146" s="194"/>
      <c r="G1146" s="194"/>
      <c r="H1146" s="195"/>
      <c r="I1146" s="196"/>
      <c r="J1146" s="197"/>
      <c r="K1146" s="193"/>
      <c r="L1146" s="198"/>
      <c r="M1146" s="199"/>
      <c r="N1146" s="194"/>
      <c r="O1146" s="193"/>
      <c r="P1146" s="193"/>
      <c r="Q1146" s="200"/>
      <c r="R1146" s="201"/>
      <c r="S1146" s="201"/>
      <c r="T1146" s="197"/>
      <c r="U1146" s="201"/>
      <c r="V1146" s="186"/>
      <c r="W1146" s="186"/>
    </row>
    <row r="1147" spans="1:23" ht="15.75">
      <c r="A1147" s="191"/>
      <c r="B1147" s="191"/>
      <c r="C1147" s="191"/>
      <c r="D1147" s="192"/>
      <c r="E1147" s="329"/>
      <c r="F1147" s="330"/>
      <c r="G1147" s="330"/>
      <c r="H1147" s="330"/>
      <c r="I1147" s="330"/>
      <c r="J1147" s="330"/>
      <c r="K1147" s="330"/>
      <c r="L1147" s="330"/>
      <c r="M1147" s="330"/>
      <c r="N1147" s="330"/>
      <c r="O1147" s="330"/>
      <c r="P1147" s="330"/>
      <c r="Q1147" s="330"/>
      <c r="R1147" s="330"/>
      <c r="S1147" s="330"/>
      <c r="T1147" s="330"/>
      <c r="U1147" s="331"/>
      <c r="V1147" s="186"/>
      <c r="W1147" s="186"/>
    </row>
    <row r="1148" spans="1:23" ht="15.75">
      <c r="A1148" s="191"/>
      <c r="B1148" s="191"/>
      <c r="C1148" s="191"/>
      <c r="D1148" s="192"/>
      <c r="E1148" s="329"/>
      <c r="F1148" s="330"/>
      <c r="G1148" s="330"/>
      <c r="H1148" s="330"/>
      <c r="I1148" s="330"/>
      <c r="J1148" s="330"/>
      <c r="K1148" s="330"/>
      <c r="L1148" s="330"/>
      <c r="M1148" s="330"/>
      <c r="N1148" s="330"/>
      <c r="O1148" s="330"/>
      <c r="P1148" s="330"/>
      <c r="Q1148" s="330"/>
      <c r="R1148" s="330"/>
      <c r="S1148" s="330"/>
      <c r="T1148" s="330"/>
      <c r="U1148" s="331"/>
      <c r="V1148" s="186"/>
      <c r="W1148" s="186"/>
    </row>
    <row r="1149" spans="1:23" ht="15.75">
      <c r="A1149" s="191"/>
      <c r="B1149" s="191"/>
      <c r="C1149" s="191"/>
      <c r="D1149" s="192"/>
      <c r="E1149" s="329"/>
      <c r="F1149" s="330"/>
      <c r="G1149" s="330"/>
      <c r="H1149" s="330"/>
      <c r="I1149" s="330"/>
      <c r="J1149" s="330"/>
      <c r="K1149" s="330"/>
      <c r="L1149" s="330"/>
      <c r="M1149" s="330"/>
      <c r="N1149" s="330"/>
      <c r="O1149" s="330"/>
      <c r="P1149" s="330"/>
      <c r="Q1149" s="330"/>
      <c r="R1149" s="330"/>
      <c r="S1149" s="330"/>
      <c r="T1149" s="330"/>
      <c r="U1149" s="331"/>
      <c r="V1149" s="186"/>
      <c r="W1149" s="186"/>
    </row>
    <row r="1150" spans="1:23">
      <c r="A1150" s="191"/>
      <c r="B1150" s="191"/>
      <c r="C1150" s="191"/>
      <c r="D1150" s="192"/>
      <c r="E1150" s="193"/>
      <c r="F1150" s="194"/>
      <c r="G1150" s="194"/>
      <c r="H1150" s="195"/>
      <c r="I1150" s="196"/>
      <c r="J1150" s="197"/>
      <c r="K1150" s="193"/>
      <c r="L1150" s="198"/>
      <c r="M1150" s="199"/>
      <c r="N1150" s="194"/>
      <c r="O1150" s="193"/>
      <c r="P1150" s="193"/>
      <c r="Q1150" s="200"/>
      <c r="R1150" s="201"/>
      <c r="S1150" s="201"/>
      <c r="T1150" s="197"/>
      <c r="U1150" s="201"/>
      <c r="V1150" s="186"/>
      <c r="W1150" s="186"/>
    </row>
    <row r="1151" spans="1:23" ht="15.75">
      <c r="A1151" s="191"/>
      <c r="B1151" s="191"/>
      <c r="C1151" s="191"/>
      <c r="D1151" s="192"/>
      <c r="E1151" s="329"/>
      <c r="F1151" s="330"/>
      <c r="G1151" s="330"/>
      <c r="H1151" s="330"/>
      <c r="I1151" s="330"/>
      <c r="J1151" s="330"/>
      <c r="K1151" s="330"/>
      <c r="L1151" s="330"/>
      <c r="M1151" s="330"/>
      <c r="N1151" s="330"/>
      <c r="O1151" s="330"/>
      <c r="P1151" s="330"/>
      <c r="Q1151" s="330"/>
      <c r="R1151" s="330"/>
      <c r="S1151" s="330"/>
      <c r="T1151" s="330"/>
      <c r="U1151" s="331"/>
      <c r="V1151" s="186"/>
      <c r="W1151" s="186"/>
    </row>
    <row r="1152" spans="1:23" ht="15.75">
      <c r="A1152" s="191"/>
      <c r="B1152" s="191"/>
      <c r="C1152" s="191"/>
      <c r="D1152" s="192"/>
      <c r="E1152" s="329"/>
      <c r="F1152" s="330"/>
      <c r="G1152" s="330"/>
      <c r="H1152" s="330"/>
      <c r="I1152" s="330"/>
      <c r="J1152" s="330"/>
      <c r="K1152" s="330"/>
      <c r="L1152" s="330"/>
      <c r="M1152" s="330"/>
      <c r="N1152" s="330"/>
      <c r="O1152" s="330"/>
      <c r="P1152" s="330"/>
      <c r="Q1152" s="330"/>
      <c r="R1152" s="330"/>
      <c r="S1152" s="330"/>
      <c r="T1152" s="330"/>
      <c r="U1152" s="331"/>
      <c r="V1152" s="186"/>
      <c r="W1152" s="186"/>
    </row>
    <row r="1153" spans="1:23" ht="15.75">
      <c r="A1153" s="202"/>
      <c r="B1153" s="332"/>
      <c r="C1153" s="333"/>
      <c r="D1153" s="334"/>
      <c r="E1153" s="334"/>
      <c r="F1153" s="334"/>
      <c r="G1153" s="334"/>
      <c r="H1153" s="334"/>
      <c r="I1153" s="334"/>
      <c r="J1153" s="334"/>
      <c r="K1153" s="334"/>
      <c r="L1153" s="334"/>
      <c r="M1153" s="334"/>
      <c r="N1153" s="334"/>
      <c r="O1153" s="334"/>
      <c r="P1153" s="334"/>
      <c r="Q1153" s="334"/>
      <c r="R1153" s="334"/>
      <c r="S1153" s="334"/>
      <c r="T1153" s="334"/>
      <c r="U1153" s="335"/>
      <c r="V1153" s="186"/>
      <c r="W1153" s="52"/>
    </row>
    <row r="1154" spans="1:23" ht="15.75">
      <c r="A1154" s="191"/>
      <c r="B1154" s="191"/>
      <c r="C1154" s="191"/>
      <c r="D1154" s="192"/>
      <c r="E1154" s="329"/>
      <c r="F1154" s="330"/>
      <c r="G1154" s="330"/>
      <c r="H1154" s="330"/>
      <c r="I1154" s="330"/>
      <c r="J1154" s="330"/>
      <c r="K1154" s="330"/>
      <c r="L1154" s="330"/>
      <c r="M1154" s="330"/>
      <c r="N1154" s="330"/>
      <c r="O1154" s="330"/>
      <c r="P1154" s="330"/>
      <c r="Q1154" s="330"/>
      <c r="R1154" s="330"/>
      <c r="S1154" s="330"/>
      <c r="T1154" s="330"/>
      <c r="U1154" s="331"/>
      <c r="V1154" s="186"/>
      <c r="W1154" s="186"/>
    </row>
    <row r="1155" spans="1:23" ht="15.75">
      <c r="A1155" s="191"/>
      <c r="B1155" s="191"/>
      <c r="C1155" s="191"/>
      <c r="D1155" s="192"/>
      <c r="E1155" s="329"/>
      <c r="F1155" s="330"/>
      <c r="G1155" s="330"/>
      <c r="H1155" s="330"/>
      <c r="I1155" s="330"/>
      <c r="J1155" s="330"/>
      <c r="K1155" s="330"/>
      <c r="L1155" s="330"/>
      <c r="M1155" s="330"/>
      <c r="N1155" s="330"/>
      <c r="O1155" s="330"/>
      <c r="P1155" s="330"/>
      <c r="Q1155" s="330"/>
      <c r="R1155" s="330"/>
      <c r="S1155" s="330"/>
      <c r="T1155" s="330"/>
      <c r="U1155" s="331"/>
      <c r="V1155" s="186"/>
      <c r="W1155" s="186"/>
    </row>
    <row r="1156" spans="1:23" ht="15.75">
      <c r="A1156" s="191"/>
      <c r="B1156" s="191"/>
      <c r="C1156" s="191"/>
      <c r="D1156" s="192"/>
      <c r="E1156" s="329"/>
      <c r="F1156" s="330"/>
      <c r="G1156" s="330"/>
      <c r="H1156" s="330"/>
      <c r="I1156" s="330"/>
      <c r="J1156" s="330"/>
      <c r="K1156" s="330"/>
      <c r="L1156" s="330"/>
      <c r="M1156" s="330"/>
      <c r="N1156" s="330"/>
      <c r="O1156" s="330"/>
      <c r="P1156" s="330"/>
      <c r="Q1156" s="330"/>
      <c r="R1156" s="330"/>
      <c r="S1156" s="330"/>
      <c r="T1156" s="330"/>
      <c r="U1156" s="331"/>
      <c r="V1156" s="186"/>
      <c r="W1156" s="186"/>
    </row>
    <row r="1157" spans="1:23">
      <c r="A1157" s="191"/>
      <c r="B1157" s="191"/>
      <c r="C1157" s="191"/>
      <c r="D1157" s="192"/>
      <c r="E1157" s="193"/>
      <c r="F1157" s="194"/>
      <c r="G1157" s="194"/>
      <c r="H1157" s="195"/>
      <c r="I1157" s="196"/>
      <c r="J1157" s="197"/>
      <c r="K1157" s="193"/>
      <c r="L1157" s="198"/>
      <c r="M1157" s="199"/>
      <c r="N1157" s="194"/>
      <c r="O1157" s="193"/>
      <c r="P1157" s="193"/>
      <c r="Q1157" s="200"/>
      <c r="R1157" s="201"/>
      <c r="S1157" s="201"/>
      <c r="T1157" s="197"/>
      <c r="U1157" s="201"/>
      <c r="V1157" s="186"/>
      <c r="W1157" s="186"/>
    </row>
    <row r="1158" spans="1:23" ht="15.75">
      <c r="A1158" s="191"/>
      <c r="B1158" s="191"/>
      <c r="C1158" s="191"/>
      <c r="D1158" s="192"/>
      <c r="E1158" s="329"/>
      <c r="F1158" s="330"/>
      <c r="G1158" s="330"/>
      <c r="H1158" s="330"/>
      <c r="I1158" s="330"/>
      <c r="J1158" s="330"/>
      <c r="K1158" s="330"/>
      <c r="L1158" s="330"/>
      <c r="M1158" s="330"/>
      <c r="N1158" s="330"/>
      <c r="O1158" s="330"/>
      <c r="P1158" s="330"/>
      <c r="Q1158" s="330"/>
      <c r="R1158" s="330"/>
      <c r="S1158" s="330"/>
      <c r="T1158" s="330"/>
      <c r="U1158" s="331"/>
      <c r="V1158" s="186"/>
      <c r="W1158" s="186"/>
    </row>
    <row r="1159" spans="1:23" ht="15.75">
      <c r="A1159" s="191"/>
      <c r="B1159" s="191"/>
      <c r="C1159" s="191"/>
      <c r="D1159" s="192"/>
      <c r="E1159" s="329"/>
      <c r="F1159" s="330"/>
      <c r="G1159" s="330"/>
      <c r="H1159" s="330"/>
      <c r="I1159" s="330"/>
      <c r="J1159" s="330"/>
      <c r="K1159" s="330"/>
      <c r="L1159" s="330"/>
      <c r="M1159" s="330"/>
      <c r="N1159" s="330"/>
      <c r="O1159" s="330"/>
      <c r="P1159" s="330"/>
      <c r="Q1159" s="330"/>
      <c r="R1159" s="330"/>
      <c r="S1159" s="330"/>
      <c r="T1159" s="330"/>
      <c r="U1159" s="331"/>
      <c r="V1159" s="186"/>
      <c r="W1159" s="186"/>
    </row>
    <row r="1160" spans="1:23" ht="15.75">
      <c r="A1160" s="202"/>
      <c r="B1160" s="332"/>
      <c r="C1160" s="333"/>
      <c r="D1160" s="334"/>
      <c r="E1160" s="334"/>
      <c r="F1160" s="334"/>
      <c r="G1160" s="334"/>
      <c r="H1160" s="334"/>
      <c r="I1160" s="334"/>
      <c r="J1160" s="334"/>
      <c r="K1160" s="334"/>
      <c r="L1160" s="334"/>
      <c r="M1160" s="334"/>
      <c r="N1160" s="334"/>
      <c r="O1160" s="334"/>
      <c r="P1160" s="334"/>
      <c r="Q1160" s="334"/>
      <c r="R1160" s="334"/>
      <c r="S1160" s="334"/>
      <c r="T1160" s="334"/>
      <c r="U1160" s="335"/>
      <c r="V1160" s="186"/>
      <c r="W1160" s="52"/>
    </row>
    <row r="1161" spans="1:23" ht="15.75">
      <c r="A1161" s="191"/>
      <c r="B1161" s="191"/>
      <c r="C1161" s="191"/>
      <c r="D1161" s="192"/>
      <c r="E1161" s="329"/>
      <c r="F1161" s="330"/>
      <c r="G1161" s="330"/>
      <c r="H1161" s="330"/>
      <c r="I1161" s="330"/>
      <c r="J1161" s="330"/>
      <c r="K1161" s="330"/>
      <c r="L1161" s="330"/>
      <c r="M1161" s="330"/>
      <c r="N1161" s="330"/>
      <c r="O1161" s="330"/>
      <c r="P1161" s="330"/>
      <c r="Q1161" s="330"/>
      <c r="R1161" s="330"/>
      <c r="S1161" s="330"/>
      <c r="T1161" s="330"/>
      <c r="U1161" s="331"/>
      <c r="V1161" s="186"/>
      <c r="W1161" s="186"/>
    </row>
    <row r="1162" spans="1:23" ht="15.75">
      <c r="A1162" s="191"/>
      <c r="B1162" s="191"/>
      <c r="C1162" s="191"/>
      <c r="D1162" s="192"/>
      <c r="E1162" s="329"/>
      <c r="F1162" s="330"/>
      <c r="G1162" s="330"/>
      <c r="H1162" s="330"/>
      <c r="I1162" s="330"/>
      <c r="J1162" s="330"/>
      <c r="K1162" s="330"/>
      <c r="L1162" s="330"/>
      <c r="M1162" s="330"/>
      <c r="N1162" s="330"/>
      <c r="O1162" s="330"/>
      <c r="P1162" s="330"/>
      <c r="Q1162" s="330"/>
      <c r="R1162" s="330"/>
      <c r="S1162" s="330"/>
      <c r="T1162" s="330"/>
      <c r="U1162" s="331"/>
      <c r="V1162" s="186"/>
      <c r="W1162" s="186"/>
    </row>
    <row r="1163" spans="1:23">
      <c r="A1163" s="191"/>
      <c r="B1163" s="191"/>
      <c r="C1163" s="191"/>
      <c r="D1163" s="192"/>
      <c r="E1163" s="193"/>
      <c r="F1163" s="194"/>
      <c r="G1163" s="194"/>
      <c r="H1163" s="195"/>
      <c r="I1163" s="196"/>
      <c r="J1163" s="197"/>
      <c r="K1163" s="193"/>
      <c r="L1163" s="198"/>
      <c r="M1163" s="199"/>
      <c r="N1163" s="194"/>
      <c r="O1163" s="193"/>
      <c r="P1163" s="193"/>
      <c r="Q1163" s="200"/>
      <c r="R1163" s="201"/>
      <c r="S1163" s="201"/>
      <c r="T1163" s="197"/>
      <c r="U1163" s="201"/>
      <c r="V1163" s="186"/>
      <c r="W1163" s="186"/>
    </row>
    <row r="1164" spans="1:23" ht="15.75">
      <c r="A1164" s="191"/>
      <c r="B1164" s="191"/>
      <c r="C1164" s="191"/>
      <c r="D1164" s="192"/>
      <c r="E1164" s="329"/>
      <c r="F1164" s="330"/>
      <c r="G1164" s="330"/>
      <c r="H1164" s="330"/>
      <c r="I1164" s="330"/>
      <c r="J1164" s="330"/>
      <c r="K1164" s="330"/>
      <c r="L1164" s="330"/>
      <c r="M1164" s="330"/>
      <c r="N1164" s="330"/>
      <c r="O1164" s="330"/>
      <c r="P1164" s="330"/>
      <c r="Q1164" s="330"/>
      <c r="R1164" s="330"/>
      <c r="S1164" s="330"/>
      <c r="T1164" s="330"/>
      <c r="U1164" s="331"/>
      <c r="V1164" s="186"/>
      <c r="W1164" s="186"/>
    </row>
    <row r="1165" spans="1:23" ht="15.75">
      <c r="A1165" s="191"/>
      <c r="B1165" s="191"/>
      <c r="C1165" s="191"/>
      <c r="D1165" s="192"/>
      <c r="E1165" s="329"/>
      <c r="F1165" s="330"/>
      <c r="G1165" s="330"/>
      <c r="H1165" s="330"/>
      <c r="I1165" s="330"/>
      <c r="J1165" s="330"/>
      <c r="K1165" s="330"/>
      <c r="L1165" s="330"/>
      <c r="M1165" s="330"/>
      <c r="N1165" s="330"/>
      <c r="O1165" s="330"/>
      <c r="P1165" s="330"/>
      <c r="Q1165" s="330"/>
      <c r="R1165" s="330"/>
      <c r="S1165" s="330"/>
      <c r="T1165" s="330"/>
      <c r="U1165" s="331"/>
      <c r="V1165" s="186"/>
      <c r="W1165" s="186"/>
    </row>
    <row r="1166" spans="1:23" ht="15.75">
      <c r="A1166" s="191"/>
      <c r="B1166" s="191"/>
      <c r="C1166" s="191"/>
      <c r="D1166" s="192"/>
      <c r="E1166" s="329"/>
      <c r="F1166" s="330"/>
      <c r="G1166" s="330"/>
      <c r="H1166" s="330"/>
      <c r="I1166" s="330"/>
      <c r="J1166" s="330"/>
      <c r="K1166" s="330"/>
      <c r="L1166" s="330"/>
      <c r="M1166" s="330"/>
      <c r="N1166" s="330"/>
      <c r="O1166" s="330"/>
      <c r="P1166" s="330"/>
      <c r="Q1166" s="330"/>
      <c r="R1166" s="330"/>
      <c r="S1166" s="330"/>
      <c r="T1166" s="330"/>
      <c r="U1166" s="331"/>
      <c r="V1166" s="186"/>
      <c r="W1166" s="186"/>
    </row>
    <row r="1167" spans="1:23" ht="15.75">
      <c r="A1167" s="191"/>
      <c r="B1167" s="191"/>
      <c r="C1167" s="191"/>
      <c r="D1167" s="192"/>
      <c r="E1167" s="329"/>
      <c r="F1167" s="330"/>
      <c r="G1167" s="330"/>
      <c r="H1167" s="330"/>
      <c r="I1167" s="330"/>
      <c r="J1167" s="330"/>
      <c r="K1167" s="330"/>
      <c r="L1167" s="330"/>
      <c r="M1167" s="330"/>
      <c r="N1167" s="330"/>
      <c r="O1167" s="330"/>
      <c r="P1167" s="330"/>
      <c r="Q1167" s="330"/>
      <c r="R1167" s="330"/>
      <c r="S1167" s="330"/>
      <c r="T1167" s="330"/>
      <c r="U1167" s="331"/>
      <c r="V1167" s="186"/>
      <c r="W1167" s="186"/>
    </row>
    <row r="1168" spans="1:23" ht="15.75">
      <c r="A1168" s="191"/>
      <c r="B1168" s="191"/>
      <c r="C1168" s="191"/>
      <c r="D1168" s="192"/>
      <c r="E1168" s="329"/>
      <c r="F1168" s="330"/>
      <c r="G1168" s="330"/>
      <c r="H1168" s="330"/>
      <c r="I1168" s="330"/>
      <c r="J1168" s="330"/>
      <c r="K1168" s="330"/>
      <c r="L1168" s="330"/>
      <c r="M1168" s="330"/>
      <c r="N1168" s="330"/>
      <c r="O1168" s="330"/>
      <c r="P1168" s="330"/>
      <c r="Q1168" s="330"/>
      <c r="R1168" s="330"/>
      <c r="S1168" s="330"/>
      <c r="T1168" s="330"/>
      <c r="U1168" s="331"/>
      <c r="V1168" s="186"/>
      <c r="W1168" s="186"/>
    </row>
    <row r="1169" spans="1:23" ht="15.75">
      <c r="A1169" s="191"/>
      <c r="B1169" s="191"/>
      <c r="C1169" s="191"/>
      <c r="D1169" s="192"/>
      <c r="E1169" s="329"/>
      <c r="F1169" s="330"/>
      <c r="G1169" s="330"/>
      <c r="H1169" s="330"/>
      <c r="I1169" s="330"/>
      <c r="J1169" s="330"/>
      <c r="K1169" s="330"/>
      <c r="L1169" s="330"/>
      <c r="M1169" s="330"/>
      <c r="N1169" s="330"/>
      <c r="O1169" s="330"/>
      <c r="P1169" s="330"/>
      <c r="Q1169" s="330"/>
      <c r="R1169" s="330"/>
      <c r="S1169" s="330"/>
      <c r="T1169" s="330"/>
      <c r="U1169" s="331"/>
      <c r="V1169" s="186"/>
      <c r="W1169" s="186"/>
    </row>
    <row r="1170" spans="1:23" ht="15.75">
      <c r="A1170" s="191"/>
      <c r="B1170" s="191"/>
      <c r="C1170" s="191"/>
      <c r="D1170" s="192"/>
      <c r="E1170" s="329"/>
      <c r="F1170" s="330"/>
      <c r="G1170" s="330"/>
      <c r="H1170" s="330"/>
      <c r="I1170" s="330"/>
      <c r="J1170" s="330"/>
      <c r="K1170" s="330"/>
      <c r="L1170" s="330"/>
      <c r="M1170" s="330"/>
      <c r="N1170" s="330"/>
      <c r="O1170" s="330"/>
      <c r="P1170" s="330"/>
      <c r="Q1170" s="330"/>
      <c r="R1170" s="330"/>
      <c r="S1170" s="330"/>
      <c r="T1170" s="330"/>
      <c r="U1170" s="331"/>
      <c r="V1170" s="186"/>
      <c r="W1170" s="186"/>
    </row>
    <row r="1171" spans="1:23">
      <c r="A1171" s="191"/>
      <c r="B1171" s="191"/>
      <c r="C1171" s="191"/>
      <c r="D1171" s="192"/>
      <c r="E1171" s="193"/>
      <c r="F1171" s="194"/>
      <c r="G1171" s="194"/>
      <c r="H1171" s="195"/>
      <c r="I1171" s="196"/>
      <c r="J1171" s="197"/>
      <c r="K1171" s="193"/>
      <c r="L1171" s="198"/>
      <c r="M1171" s="199"/>
      <c r="N1171" s="194"/>
      <c r="O1171" s="193"/>
      <c r="P1171" s="193"/>
      <c r="Q1171" s="200"/>
      <c r="R1171" s="201"/>
      <c r="S1171" s="201"/>
      <c r="T1171" s="197"/>
      <c r="U1171" s="201"/>
      <c r="V1171" s="186"/>
      <c r="W1171" s="186"/>
    </row>
    <row r="1172" spans="1:23" ht="15.75">
      <c r="A1172" s="191"/>
      <c r="B1172" s="191"/>
      <c r="C1172" s="191"/>
      <c r="D1172" s="192"/>
      <c r="E1172" s="329"/>
      <c r="F1172" s="330"/>
      <c r="G1172" s="330"/>
      <c r="H1172" s="330"/>
      <c r="I1172" s="330"/>
      <c r="J1172" s="330"/>
      <c r="K1172" s="330"/>
      <c r="L1172" s="330"/>
      <c r="M1172" s="330"/>
      <c r="N1172" s="330"/>
      <c r="O1172" s="330"/>
      <c r="P1172" s="330"/>
      <c r="Q1172" s="330"/>
      <c r="R1172" s="330"/>
      <c r="S1172" s="330"/>
      <c r="T1172" s="330"/>
      <c r="U1172" s="331"/>
      <c r="V1172" s="186"/>
      <c r="W1172" s="186"/>
    </row>
    <row r="1173" spans="1:23" ht="15.75">
      <c r="A1173" s="191"/>
      <c r="B1173" s="191"/>
      <c r="C1173" s="191"/>
      <c r="D1173" s="192"/>
      <c r="E1173" s="329"/>
      <c r="F1173" s="330"/>
      <c r="G1173" s="330"/>
      <c r="H1173" s="330"/>
      <c r="I1173" s="330"/>
      <c r="J1173" s="330"/>
      <c r="K1173" s="330"/>
      <c r="L1173" s="330"/>
      <c r="M1173" s="330"/>
      <c r="N1173" s="330"/>
      <c r="O1173" s="330"/>
      <c r="P1173" s="330"/>
      <c r="Q1173" s="330"/>
      <c r="R1173" s="330"/>
      <c r="S1173" s="330"/>
      <c r="T1173" s="330"/>
      <c r="U1173" s="331"/>
      <c r="V1173" s="186"/>
      <c r="W1173" s="186"/>
    </row>
    <row r="1174" spans="1:23" ht="15.75">
      <c r="A1174" s="191"/>
      <c r="B1174" s="191"/>
      <c r="C1174" s="191"/>
      <c r="D1174" s="192"/>
      <c r="E1174" s="329"/>
      <c r="F1174" s="330"/>
      <c r="G1174" s="330"/>
      <c r="H1174" s="330"/>
      <c r="I1174" s="330"/>
      <c r="J1174" s="330"/>
      <c r="K1174" s="330"/>
      <c r="L1174" s="330"/>
      <c r="M1174" s="330"/>
      <c r="N1174" s="330"/>
      <c r="O1174" s="330"/>
      <c r="P1174" s="330"/>
      <c r="Q1174" s="330"/>
      <c r="R1174" s="330"/>
      <c r="S1174" s="330"/>
      <c r="T1174" s="330"/>
      <c r="U1174" s="331"/>
      <c r="V1174" s="186"/>
      <c r="W1174" s="186"/>
    </row>
    <row r="1175" spans="1:23">
      <c r="A1175" s="191"/>
      <c r="B1175" s="191"/>
      <c r="C1175" s="191"/>
      <c r="D1175" s="192"/>
      <c r="E1175" s="193"/>
      <c r="F1175" s="194"/>
      <c r="G1175" s="194"/>
      <c r="H1175" s="195"/>
      <c r="I1175" s="196"/>
      <c r="J1175" s="197"/>
      <c r="K1175" s="193"/>
      <c r="L1175" s="198"/>
      <c r="M1175" s="199"/>
      <c r="N1175" s="194"/>
      <c r="O1175" s="193"/>
      <c r="P1175" s="193"/>
      <c r="Q1175" s="200"/>
      <c r="R1175" s="201"/>
      <c r="S1175" s="201"/>
      <c r="T1175" s="197"/>
      <c r="U1175" s="201"/>
      <c r="V1175" s="186"/>
      <c r="W1175" s="186"/>
    </row>
    <row r="1176" spans="1:23" ht="15.75">
      <c r="A1176" s="191"/>
      <c r="B1176" s="191"/>
      <c r="C1176" s="191"/>
      <c r="D1176" s="192"/>
      <c r="E1176" s="329"/>
      <c r="F1176" s="330"/>
      <c r="G1176" s="330"/>
      <c r="H1176" s="330"/>
      <c r="I1176" s="330"/>
      <c r="J1176" s="330"/>
      <c r="K1176" s="330"/>
      <c r="L1176" s="330"/>
      <c r="M1176" s="330"/>
      <c r="N1176" s="330"/>
      <c r="O1176" s="330"/>
      <c r="P1176" s="330"/>
      <c r="Q1176" s="330"/>
      <c r="R1176" s="330"/>
      <c r="S1176" s="330"/>
      <c r="T1176" s="330"/>
      <c r="U1176" s="331"/>
      <c r="V1176" s="186"/>
      <c r="W1176" s="186"/>
    </row>
    <row r="1177" spans="1:23" ht="15.75">
      <c r="A1177" s="202"/>
      <c r="B1177" s="332"/>
      <c r="C1177" s="333"/>
      <c r="D1177" s="334"/>
      <c r="E1177" s="334"/>
      <c r="F1177" s="334"/>
      <c r="G1177" s="334"/>
      <c r="H1177" s="334"/>
      <c r="I1177" s="334"/>
      <c r="J1177" s="334"/>
      <c r="K1177" s="334"/>
      <c r="L1177" s="334"/>
      <c r="M1177" s="334"/>
      <c r="N1177" s="334"/>
      <c r="O1177" s="334"/>
      <c r="P1177" s="334"/>
      <c r="Q1177" s="334"/>
      <c r="R1177" s="334"/>
      <c r="S1177" s="334"/>
      <c r="T1177" s="334"/>
      <c r="U1177" s="335"/>
      <c r="V1177" s="186"/>
      <c r="W1177" s="52"/>
    </row>
    <row r="1178" spans="1:23" ht="15.75">
      <c r="A1178" s="191"/>
      <c r="B1178" s="191"/>
      <c r="C1178" s="191"/>
      <c r="D1178" s="192"/>
      <c r="E1178" s="329"/>
      <c r="F1178" s="330"/>
      <c r="G1178" s="330"/>
      <c r="H1178" s="330"/>
      <c r="I1178" s="330"/>
      <c r="J1178" s="330"/>
      <c r="K1178" s="330"/>
      <c r="L1178" s="330"/>
      <c r="M1178" s="330"/>
      <c r="N1178" s="330"/>
      <c r="O1178" s="330"/>
      <c r="P1178" s="330"/>
      <c r="Q1178" s="330"/>
      <c r="R1178" s="330"/>
      <c r="S1178" s="330"/>
      <c r="T1178" s="330"/>
      <c r="U1178" s="331"/>
      <c r="V1178" s="186"/>
      <c r="W1178" s="186"/>
    </row>
    <row r="1179" spans="1:23" ht="15.75">
      <c r="A1179" s="191"/>
      <c r="B1179" s="191"/>
      <c r="C1179" s="191"/>
      <c r="D1179" s="192"/>
      <c r="E1179" s="329"/>
      <c r="F1179" s="330"/>
      <c r="G1179" s="330"/>
      <c r="H1179" s="330"/>
      <c r="I1179" s="330"/>
      <c r="J1179" s="330"/>
      <c r="K1179" s="330"/>
      <c r="L1179" s="330"/>
      <c r="M1179" s="330"/>
      <c r="N1179" s="330"/>
      <c r="O1179" s="330"/>
      <c r="P1179" s="330"/>
      <c r="Q1179" s="330"/>
      <c r="R1179" s="330"/>
      <c r="S1179" s="330"/>
      <c r="T1179" s="330"/>
      <c r="U1179" s="331"/>
      <c r="V1179" s="186"/>
      <c r="W1179" s="186"/>
    </row>
    <row r="1180" spans="1:23">
      <c r="A1180" s="191"/>
      <c r="B1180" s="191"/>
      <c r="C1180" s="191"/>
      <c r="D1180" s="192"/>
      <c r="E1180" s="193"/>
      <c r="F1180" s="194"/>
      <c r="G1180" s="194"/>
      <c r="H1180" s="195"/>
      <c r="I1180" s="196"/>
      <c r="J1180" s="197"/>
      <c r="K1180" s="193"/>
      <c r="L1180" s="198"/>
      <c r="M1180" s="199"/>
      <c r="N1180" s="194"/>
      <c r="O1180" s="193"/>
      <c r="P1180" s="193"/>
      <c r="Q1180" s="200"/>
      <c r="R1180" s="201"/>
      <c r="S1180" s="201"/>
      <c r="T1180" s="197"/>
      <c r="U1180" s="201"/>
      <c r="V1180" s="186"/>
      <c r="W1180" s="186"/>
    </row>
    <row r="1181" spans="1:23" ht="15.75">
      <c r="A1181" s="191"/>
      <c r="B1181" s="191"/>
      <c r="C1181" s="191"/>
      <c r="D1181" s="192"/>
      <c r="E1181" s="329"/>
      <c r="F1181" s="330"/>
      <c r="G1181" s="330"/>
      <c r="H1181" s="330"/>
      <c r="I1181" s="330"/>
      <c r="J1181" s="330"/>
      <c r="K1181" s="330"/>
      <c r="L1181" s="330"/>
      <c r="M1181" s="330"/>
      <c r="N1181" s="330"/>
      <c r="O1181" s="330"/>
      <c r="P1181" s="330"/>
      <c r="Q1181" s="330"/>
      <c r="R1181" s="330"/>
      <c r="S1181" s="330"/>
      <c r="T1181" s="330"/>
      <c r="U1181" s="331"/>
      <c r="V1181" s="186"/>
      <c r="W1181" s="186"/>
    </row>
    <row r="1182" spans="1:23">
      <c r="A1182" s="191"/>
      <c r="B1182" s="191"/>
      <c r="C1182" s="191"/>
      <c r="D1182" s="192"/>
      <c r="E1182" s="193"/>
      <c r="F1182" s="194"/>
      <c r="G1182" s="194"/>
      <c r="H1182" s="195"/>
      <c r="I1182" s="196"/>
      <c r="J1182" s="197"/>
      <c r="K1182" s="193"/>
      <c r="L1182" s="198"/>
      <c r="M1182" s="199"/>
      <c r="N1182" s="194"/>
      <c r="O1182" s="193"/>
      <c r="P1182" s="193"/>
      <c r="Q1182" s="200"/>
      <c r="R1182" s="201"/>
      <c r="S1182" s="201"/>
      <c r="T1182" s="197"/>
      <c r="U1182" s="201"/>
      <c r="V1182" s="186"/>
      <c r="W1182" s="186"/>
    </row>
    <row r="1183" spans="1:23" ht="15.75">
      <c r="A1183" s="191"/>
      <c r="B1183" s="191"/>
      <c r="C1183" s="191"/>
      <c r="D1183" s="192"/>
      <c r="E1183" s="329"/>
      <c r="F1183" s="330"/>
      <c r="G1183" s="330"/>
      <c r="H1183" s="330"/>
      <c r="I1183" s="330"/>
      <c r="J1183" s="330"/>
      <c r="K1183" s="330"/>
      <c r="L1183" s="330"/>
      <c r="M1183" s="330"/>
      <c r="N1183" s="330"/>
      <c r="O1183" s="330"/>
      <c r="P1183" s="330"/>
      <c r="Q1183" s="330"/>
      <c r="R1183" s="330"/>
      <c r="S1183" s="330"/>
      <c r="T1183" s="330"/>
      <c r="U1183" s="331"/>
      <c r="V1183" s="186"/>
      <c r="W1183" s="186"/>
    </row>
    <row r="1184" spans="1:23" ht="15.75">
      <c r="A1184" s="191"/>
      <c r="B1184" s="191"/>
      <c r="C1184" s="191"/>
      <c r="D1184" s="192"/>
      <c r="E1184" s="329"/>
      <c r="F1184" s="330"/>
      <c r="G1184" s="330"/>
      <c r="H1184" s="330"/>
      <c r="I1184" s="330"/>
      <c r="J1184" s="330"/>
      <c r="K1184" s="330"/>
      <c r="L1184" s="330"/>
      <c r="M1184" s="330"/>
      <c r="N1184" s="330"/>
      <c r="O1184" s="330"/>
      <c r="P1184" s="330"/>
      <c r="Q1184" s="330"/>
      <c r="R1184" s="330"/>
      <c r="S1184" s="330"/>
      <c r="T1184" s="330"/>
      <c r="U1184" s="331"/>
      <c r="V1184" s="186"/>
      <c r="W1184" s="186"/>
    </row>
    <row r="1185" spans="1:23" ht="15.75">
      <c r="A1185" s="191"/>
      <c r="B1185" s="191"/>
      <c r="C1185" s="191"/>
      <c r="D1185" s="192"/>
      <c r="E1185" s="329"/>
      <c r="F1185" s="330"/>
      <c r="G1185" s="330"/>
      <c r="H1185" s="330"/>
      <c r="I1185" s="330"/>
      <c r="J1185" s="330"/>
      <c r="K1185" s="330"/>
      <c r="L1185" s="330"/>
      <c r="M1185" s="330"/>
      <c r="N1185" s="330"/>
      <c r="O1185" s="330"/>
      <c r="P1185" s="330"/>
      <c r="Q1185" s="330"/>
      <c r="R1185" s="330"/>
      <c r="S1185" s="330"/>
      <c r="T1185" s="330"/>
      <c r="U1185" s="331"/>
      <c r="V1185" s="186"/>
      <c r="W1185" s="186"/>
    </row>
    <row r="1186" spans="1:23" ht="15.75">
      <c r="A1186" s="191"/>
      <c r="B1186" s="191"/>
      <c r="C1186" s="191"/>
      <c r="D1186" s="192"/>
      <c r="E1186" s="329"/>
      <c r="F1186" s="330"/>
      <c r="G1186" s="330"/>
      <c r="H1186" s="330"/>
      <c r="I1186" s="330"/>
      <c r="J1186" s="330"/>
      <c r="K1186" s="330"/>
      <c r="L1186" s="330"/>
      <c r="M1186" s="330"/>
      <c r="N1186" s="330"/>
      <c r="O1186" s="330"/>
      <c r="P1186" s="330"/>
      <c r="Q1186" s="330"/>
      <c r="R1186" s="330"/>
      <c r="S1186" s="330"/>
      <c r="T1186" s="330"/>
      <c r="U1186" s="331"/>
      <c r="V1186" s="186"/>
      <c r="W1186" s="186"/>
    </row>
    <row r="1187" spans="1:23" ht="15.75">
      <c r="A1187" s="191"/>
      <c r="B1187" s="191"/>
      <c r="C1187" s="191"/>
      <c r="D1187" s="192"/>
      <c r="E1187" s="329"/>
      <c r="F1187" s="330"/>
      <c r="G1187" s="330"/>
      <c r="H1187" s="330"/>
      <c r="I1187" s="330"/>
      <c r="J1187" s="330"/>
      <c r="K1187" s="330"/>
      <c r="L1187" s="330"/>
      <c r="M1187" s="330"/>
      <c r="N1187" s="330"/>
      <c r="O1187" s="330"/>
      <c r="P1187" s="330"/>
      <c r="Q1187" s="330"/>
      <c r="R1187" s="330"/>
      <c r="S1187" s="330"/>
      <c r="T1187" s="330"/>
      <c r="U1187" s="331"/>
      <c r="V1187" s="186"/>
      <c r="W1187" s="186"/>
    </row>
    <row r="1188" spans="1:23">
      <c r="A1188" s="191"/>
      <c r="B1188" s="191"/>
      <c r="C1188" s="191"/>
      <c r="D1188" s="192"/>
      <c r="E1188" s="193"/>
      <c r="F1188" s="194"/>
      <c r="G1188" s="194"/>
      <c r="H1188" s="195"/>
      <c r="I1188" s="196"/>
      <c r="J1188" s="197"/>
      <c r="K1188" s="193"/>
      <c r="L1188" s="198"/>
      <c r="M1188" s="199"/>
      <c r="N1188" s="194"/>
      <c r="O1188" s="193"/>
      <c r="P1188" s="193"/>
      <c r="Q1188" s="200"/>
      <c r="R1188" s="201"/>
      <c r="S1188" s="201"/>
      <c r="T1188" s="197"/>
      <c r="U1188" s="201"/>
      <c r="V1188" s="186"/>
      <c r="W1188" s="186"/>
    </row>
    <row r="1189" spans="1:23" ht="15.75">
      <c r="A1189" s="191"/>
      <c r="B1189" s="191"/>
      <c r="C1189" s="191"/>
      <c r="D1189" s="192"/>
      <c r="E1189" s="329"/>
      <c r="F1189" s="330"/>
      <c r="G1189" s="330"/>
      <c r="H1189" s="330"/>
      <c r="I1189" s="330"/>
      <c r="J1189" s="330"/>
      <c r="K1189" s="330"/>
      <c r="L1189" s="330"/>
      <c r="M1189" s="330"/>
      <c r="N1189" s="330"/>
      <c r="O1189" s="330"/>
      <c r="P1189" s="330"/>
      <c r="Q1189" s="330"/>
      <c r="R1189" s="330"/>
      <c r="S1189" s="330"/>
      <c r="T1189" s="330"/>
      <c r="U1189" s="331"/>
      <c r="V1189" s="186"/>
      <c r="W1189" s="186"/>
    </row>
    <row r="1190" spans="1:23" ht="15.75">
      <c r="A1190" s="191"/>
      <c r="B1190" s="191"/>
      <c r="C1190" s="191"/>
      <c r="D1190" s="192"/>
      <c r="E1190" s="329"/>
      <c r="F1190" s="330"/>
      <c r="G1190" s="330"/>
      <c r="H1190" s="330"/>
      <c r="I1190" s="330"/>
      <c r="J1190" s="330"/>
      <c r="K1190" s="330"/>
      <c r="L1190" s="330"/>
      <c r="M1190" s="330"/>
      <c r="N1190" s="330"/>
      <c r="O1190" s="330"/>
      <c r="P1190" s="330"/>
      <c r="Q1190" s="330"/>
      <c r="R1190" s="330"/>
      <c r="S1190" s="330"/>
      <c r="T1190" s="330"/>
      <c r="U1190" s="331"/>
      <c r="V1190" s="186"/>
      <c r="W1190" s="186"/>
    </row>
    <row r="1191" spans="1:23">
      <c r="A1191" s="191"/>
      <c r="B1191" s="191"/>
      <c r="C1191" s="191"/>
      <c r="D1191" s="192"/>
      <c r="E1191" s="193"/>
      <c r="F1191" s="194"/>
      <c r="G1191" s="194"/>
      <c r="H1191" s="195"/>
      <c r="I1191" s="196"/>
      <c r="J1191" s="197"/>
      <c r="K1191" s="193"/>
      <c r="L1191" s="198"/>
      <c r="M1191" s="199"/>
      <c r="N1191" s="194"/>
      <c r="O1191" s="193"/>
      <c r="P1191" s="193"/>
      <c r="Q1191" s="200"/>
      <c r="R1191" s="201"/>
      <c r="S1191" s="201"/>
      <c r="T1191" s="197"/>
      <c r="U1191" s="201"/>
      <c r="V1191" s="186"/>
      <c r="W1191" s="186"/>
    </row>
    <row r="1192" spans="1:23" ht="15.75">
      <c r="A1192" s="191"/>
      <c r="B1192" s="191"/>
      <c r="C1192" s="191"/>
      <c r="D1192" s="192"/>
      <c r="E1192" s="329"/>
      <c r="F1192" s="330"/>
      <c r="G1192" s="330"/>
      <c r="H1192" s="330"/>
      <c r="I1192" s="330"/>
      <c r="J1192" s="330"/>
      <c r="K1192" s="330"/>
      <c r="L1192" s="330"/>
      <c r="M1192" s="330"/>
      <c r="N1192" s="330"/>
      <c r="O1192" s="330"/>
      <c r="P1192" s="330"/>
      <c r="Q1192" s="330"/>
      <c r="R1192" s="330"/>
      <c r="S1192" s="330"/>
      <c r="T1192" s="330"/>
      <c r="U1192" s="331"/>
      <c r="V1192" s="186"/>
      <c r="W1192" s="186"/>
    </row>
    <row r="1193" spans="1:23" ht="15.75">
      <c r="A1193" s="191"/>
      <c r="B1193" s="191"/>
      <c r="C1193" s="191"/>
      <c r="D1193" s="192"/>
      <c r="E1193" s="329"/>
      <c r="F1193" s="330"/>
      <c r="G1193" s="330"/>
      <c r="H1193" s="330"/>
      <c r="I1193" s="330"/>
      <c r="J1193" s="330"/>
      <c r="K1193" s="330"/>
      <c r="L1193" s="330"/>
      <c r="M1193" s="330"/>
      <c r="N1193" s="330"/>
      <c r="O1193" s="330"/>
      <c r="P1193" s="330"/>
      <c r="Q1193" s="330"/>
      <c r="R1193" s="330"/>
      <c r="S1193" s="330"/>
      <c r="T1193" s="330"/>
      <c r="U1193" s="331"/>
      <c r="V1193" s="186"/>
      <c r="W1193" s="186"/>
    </row>
    <row r="1194" spans="1:23" ht="15.75">
      <c r="A1194" s="191"/>
      <c r="B1194" s="191"/>
      <c r="C1194" s="191"/>
      <c r="D1194" s="192"/>
      <c r="E1194" s="329"/>
      <c r="F1194" s="330"/>
      <c r="G1194" s="330"/>
      <c r="H1194" s="330"/>
      <c r="I1194" s="330"/>
      <c r="J1194" s="330"/>
      <c r="K1194" s="330"/>
      <c r="L1194" s="330"/>
      <c r="M1194" s="330"/>
      <c r="N1194" s="330"/>
      <c r="O1194" s="330"/>
      <c r="P1194" s="330"/>
      <c r="Q1194" s="330"/>
      <c r="R1194" s="330"/>
      <c r="S1194" s="330"/>
      <c r="T1194" s="330"/>
      <c r="U1194" s="331"/>
      <c r="V1194" s="186"/>
      <c r="W1194" s="186"/>
    </row>
    <row r="1195" spans="1:23" ht="15.75">
      <c r="A1195" s="202"/>
      <c r="B1195" s="332"/>
      <c r="C1195" s="333"/>
      <c r="D1195" s="334"/>
      <c r="E1195" s="334"/>
      <c r="F1195" s="334"/>
      <c r="G1195" s="334"/>
      <c r="H1195" s="334"/>
      <c r="I1195" s="334"/>
      <c r="J1195" s="334"/>
      <c r="K1195" s="334"/>
      <c r="L1195" s="334"/>
      <c r="M1195" s="334"/>
      <c r="N1195" s="334"/>
      <c r="O1195" s="334"/>
      <c r="P1195" s="334"/>
      <c r="Q1195" s="334"/>
      <c r="R1195" s="334"/>
      <c r="S1195" s="334"/>
      <c r="T1195" s="334"/>
      <c r="U1195" s="335"/>
      <c r="V1195" s="186"/>
      <c r="W1195" s="52"/>
    </row>
    <row r="1196" spans="1:23" ht="15.75">
      <c r="A1196" s="191"/>
      <c r="B1196" s="191"/>
      <c r="C1196" s="191"/>
      <c r="D1196" s="192"/>
      <c r="E1196" s="329"/>
      <c r="F1196" s="330"/>
      <c r="G1196" s="330"/>
      <c r="H1196" s="330"/>
      <c r="I1196" s="330"/>
      <c r="J1196" s="330"/>
      <c r="K1196" s="330"/>
      <c r="L1196" s="330"/>
      <c r="M1196" s="330"/>
      <c r="N1196" s="330"/>
      <c r="O1196" s="330"/>
      <c r="P1196" s="330"/>
      <c r="Q1196" s="330"/>
      <c r="R1196" s="330"/>
      <c r="S1196" s="330"/>
      <c r="T1196" s="330"/>
      <c r="U1196" s="331"/>
      <c r="V1196" s="186"/>
      <c r="W1196" s="186"/>
    </row>
    <row r="1197" spans="1:23" ht="15.75">
      <c r="A1197" s="191"/>
      <c r="B1197" s="191"/>
      <c r="C1197" s="191"/>
      <c r="D1197" s="192"/>
      <c r="E1197" s="329"/>
      <c r="F1197" s="330"/>
      <c r="G1197" s="330"/>
      <c r="H1197" s="330"/>
      <c r="I1197" s="330"/>
      <c r="J1197" s="330"/>
      <c r="K1197" s="330"/>
      <c r="L1197" s="330"/>
      <c r="M1197" s="330"/>
      <c r="N1197" s="330"/>
      <c r="O1197" s="330"/>
      <c r="P1197" s="330"/>
      <c r="Q1197" s="330"/>
      <c r="R1197" s="330"/>
      <c r="S1197" s="330"/>
      <c r="T1197" s="330"/>
      <c r="U1197" s="331"/>
      <c r="V1197" s="186"/>
      <c r="W1197" s="186"/>
    </row>
    <row r="1198" spans="1:23">
      <c r="A1198" s="191"/>
      <c r="B1198" s="191"/>
      <c r="C1198" s="191"/>
      <c r="D1198" s="192"/>
      <c r="E1198" s="193"/>
      <c r="F1198" s="194"/>
      <c r="G1198" s="194"/>
      <c r="H1198" s="195"/>
      <c r="I1198" s="196"/>
      <c r="J1198" s="197"/>
      <c r="K1198" s="193"/>
      <c r="L1198" s="198"/>
      <c r="M1198" s="199"/>
      <c r="N1198" s="194"/>
      <c r="O1198" s="193"/>
      <c r="P1198" s="193"/>
      <c r="Q1198" s="200"/>
      <c r="R1198" s="201"/>
      <c r="S1198" s="201"/>
      <c r="T1198" s="197"/>
      <c r="U1198" s="201"/>
      <c r="V1198" s="186"/>
      <c r="W1198" s="186"/>
    </row>
    <row r="1199" spans="1:23" ht="15.75">
      <c r="A1199" s="191"/>
      <c r="B1199" s="191"/>
      <c r="C1199" s="191"/>
      <c r="D1199" s="192"/>
      <c r="E1199" s="329"/>
      <c r="F1199" s="330"/>
      <c r="G1199" s="330"/>
      <c r="H1199" s="330"/>
      <c r="I1199" s="330"/>
      <c r="J1199" s="330"/>
      <c r="K1199" s="330"/>
      <c r="L1199" s="330"/>
      <c r="M1199" s="330"/>
      <c r="N1199" s="330"/>
      <c r="O1199" s="330"/>
      <c r="P1199" s="330"/>
      <c r="Q1199" s="330"/>
      <c r="R1199" s="330"/>
      <c r="S1199" s="330"/>
      <c r="T1199" s="330"/>
      <c r="U1199" s="331"/>
      <c r="V1199" s="186"/>
      <c r="W1199" s="186"/>
    </row>
    <row r="1200" spans="1:23" ht="15.75">
      <c r="A1200" s="191"/>
      <c r="B1200" s="191"/>
      <c r="C1200" s="191"/>
      <c r="D1200" s="192"/>
      <c r="E1200" s="329"/>
      <c r="F1200" s="330"/>
      <c r="G1200" s="330"/>
      <c r="H1200" s="330"/>
      <c r="I1200" s="330"/>
      <c r="J1200" s="330"/>
      <c r="K1200" s="330"/>
      <c r="L1200" s="330"/>
      <c r="M1200" s="330"/>
      <c r="N1200" s="330"/>
      <c r="O1200" s="330"/>
      <c r="P1200" s="330"/>
      <c r="Q1200" s="330"/>
      <c r="R1200" s="330"/>
      <c r="S1200" s="330"/>
      <c r="T1200" s="330"/>
      <c r="U1200" s="331"/>
      <c r="V1200" s="186"/>
      <c r="W1200" s="186"/>
    </row>
    <row r="1201" spans="1:23" ht="15.75">
      <c r="A1201" s="202"/>
      <c r="B1201" s="332"/>
      <c r="C1201" s="333"/>
      <c r="D1201" s="334"/>
      <c r="E1201" s="334"/>
      <c r="F1201" s="334"/>
      <c r="G1201" s="334"/>
      <c r="H1201" s="334"/>
      <c r="I1201" s="334"/>
      <c r="J1201" s="334"/>
      <c r="K1201" s="334"/>
      <c r="L1201" s="334"/>
      <c r="M1201" s="334"/>
      <c r="N1201" s="334"/>
      <c r="O1201" s="334"/>
      <c r="P1201" s="334"/>
      <c r="Q1201" s="334"/>
      <c r="R1201" s="334"/>
      <c r="S1201" s="334"/>
      <c r="T1201" s="334"/>
      <c r="U1201" s="335"/>
      <c r="V1201" s="186"/>
      <c r="W1201" s="186"/>
    </row>
    <row r="1202" spans="1:23" ht="15.75">
      <c r="A1202" s="191"/>
      <c r="B1202" s="191"/>
      <c r="C1202" s="191"/>
      <c r="D1202" s="192"/>
      <c r="E1202" s="329"/>
      <c r="F1202" s="330"/>
      <c r="G1202" s="330"/>
      <c r="H1202" s="330"/>
      <c r="I1202" s="330"/>
      <c r="J1202" s="330"/>
      <c r="K1202" s="330"/>
      <c r="L1202" s="330"/>
      <c r="M1202" s="330"/>
      <c r="N1202" s="330"/>
      <c r="O1202" s="330"/>
      <c r="P1202" s="330"/>
      <c r="Q1202" s="330"/>
      <c r="R1202" s="330"/>
      <c r="S1202" s="330"/>
      <c r="T1202" s="330"/>
      <c r="U1202" s="331"/>
      <c r="V1202" s="186"/>
      <c r="W1202" s="186"/>
    </row>
    <row r="1203" spans="1:23" ht="15.75">
      <c r="A1203" s="202"/>
      <c r="B1203" s="332"/>
      <c r="C1203" s="333"/>
      <c r="D1203" s="334"/>
      <c r="E1203" s="334"/>
      <c r="F1203" s="334"/>
      <c r="G1203" s="334"/>
      <c r="H1203" s="334"/>
      <c r="I1203" s="334"/>
      <c r="J1203" s="334"/>
      <c r="K1203" s="334"/>
      <c r="L1203" s="334"/>
      <c r="M1203" s="334"/>
      <c r="N1203" s="334"/>
      <c r="O1203" s="334"/>
      <c r="P1203" s="334"/>
      <c r="Q1203" s="334"/>
      <c r="R1203" s="334"/>
      <c r="S1203" s="334"/>
      <c r="T1203" s="334"/>
      <c r="U1203" s="335"/>
      <c r="V1203" s="186"/>
      <c r="W1203" s="186"/>
    </row>
    <row r="1204" spans="1:23" ht="15.75">
      <c r="A1204" s="191"/>
      <c r="B1204" s="191"/>
      <c r="C1204" s="191"/>
      <c r="D1204" s="192"/>
      <c r="E1204" s="329"/>
      <c r="F1204" s="330"/>
      <c r="G1204" s="330"/>
      <c r="H1204" s="330"/>
      <c r="I1204" s="330"/>
      <c r="J1204" s="330"/>
      <c r="K1204" s="330"/>
      <c r="L1204" s="330"/>
      <c r="M1204" s="330"/>
      <c r="N1204" s="330"/>
      <c r="O1204" s="330"/>
      <c r="P1204" s="330"/>
      <c r="Q1204" s="330"/>
      <c r="R1204" s="330"/>
      <c r="S1204" s="330"/>
      <c r="T1204" s="330"/>
      <c r="U1204" s="331"/>
      <c r="V1204" s="186"/>
      <c r="W1204" s="186"/>
    </row>
    <row r="1205" spans="1:23" ht="15.75">
      <c r="A1205" s="202"/>
      <c r="B1205" s="332"/>
      <c r="C1205" s="333"/>
      <c r="D1205" s="334"/>
      <c r="E1205" s="334"/>
      <c r="F1205" s="334"/>
      <c r="G1205" s="334"/>
      <c r="H1205" s="334"/>
      <c r="I1205" s="334"/>
      <c r="J1205" s="334"/>
      <c r="K1205" s="334"/>
      <c r="L1205" s="334"/>
      <c r="M1205" s="334"/>
      <c r="N1205" s="334"/>
      <c r="O1205" s="334"/>
      <c r="P1205" s="334"/>
      <c r="Q1205" s="334"/>
      <c r="R1205" s="334"/>
      <c r="S1205" s="334"/>
      <c r="T1205" s="334"/>
      <c r="U1205" s="335"/>
      <c r="V1205" s="186"/>
      <c r="W1205" s="186"/>
    </row>
    <row r="1206" spans="1:23" ht="15.75">
      <c r="A1206" s="191"/>
      <c r="B1206" s="191"/>
      <c r="C1206" s="191"/>
      <c r="D1206" s="192"/>
      <c r="E1206" s="329"/>
      <c r="F1206" s="330"/>
      <c r="G1206" s="330"/>
      <c r="H1206" s="330"/>
      <c r="I1206" s="330"/>
      <c r="J1206" s="330"/>
      <c r="K1206" s="330"/>
      <c r="L1206" s="330"/>
      <c r="M1206" s="330"/>
      <c r="N1206" s="330"/>
      <c r="O1206" s="330"/>
      <c r="P1206" s="330"/>
      <c r="Q1206" s="330"/>
      <c r="R1206" s="330"/>
      <c r="S1206" s="330"/>
      <c r="T1206" s="330"/>
      <c r="U1206" s="331"/>
      <c r="V1206" s="186"/>
      <c r="W1206" s="186"/>
    </row>
    <row r="1207" spans="1:23" ht="15.75">
      <c r="A1207" s="202"/>
      <c r="B1207" s="332"/>
      <c r="C1207" s="333"/>
      <c r="D1207" s="334"/>
      <c r="E1207" s="334"/>
      <c r="F1207" s="334"/>
      <c r="G1207" s="334"/>
      <c r="H1207" s="334"/>
      <c r="I1207" s="334"/>
      <c r="J1207" s="334"/>
      <c r="K1207" s="334"/>
      <c r="L1207" s="334"/>
      <c r="M1207" s="334"/>
      <c r="N1207" s="334"/>
      <c r="O1207" s="334"/>
      <c r="P1207" s="334"/>
      <c r="Q1207" s="334"/>
      <c r="R1207" s="334"/>
      <c r="S1207" s="334"/>
      <c r="T1207" s="334"/>
      <c r="U1207" s="335"/>
      <c r="V1207" s="186"/>
      <c r="W1207" s="186"/>
    </row>
    <row r="1208" spans="1:23" ht="15.75">
      <c r="A1208" s="191"/>
      <c r="B1208" s="191"/>
      <c r="C1208" s="191"/>
      <c r="D1208" s="192"/>
      <c r="E1208" s="329"/>
      <c r="F1208" s="330"/>
      <c r="G1208" s="330"/>
      <c r="H1208" s="330"/>
      <c r="I1208" s="330"/>
      <c r="J1208" s="330"/>
      <c r="K1208" s="330"/>
      <c r="L1208" s="330"/>
      <c r="M1208" s="330"/>
      <c r="N1208" s="330"/>
      <c r="O1208" s="330"/>
      <c r="P1208" s="330"/>
      <c r="Q1208" s="330"/>
      <c r="R1208" s="330"/>
      <c r="S1208" s="330"/>
      <c r="T1208" s="330"/>
      <c r="U1208" s="331"/>
      <c r="V1208" s="186"/>
      <c r="W1208" s="186"/>
    </row>
    <row r="1209" spans="1:23" ht="15.75">
      <c r="A1209" s="191"/>
      <c r="B1209" s="191"/>
      <c r="C1209" s="191"/>
      <c r="D1209" s="192"/>
      <c r="E1209" s="329"/>
      <c r="F1209" s="330"/>
      <c r="G1209" s="330"/>
      <c r="H1209" s="330"/>
      <c r="I1209" s="330"/>
      <c r="J1209" s="330"/>
      <c r="K1209" s="330"/>
      <c r="L1209" s="330"/>
      <c r="M1209" s="330"/>
      <c r="N1209" s="330"/>
      <c r="O1209" s="330"/>
      <c r="P1209" s="330"/>
      <c r="Q1209" s="330"/>
      <c r="R1209" s="330"/>
      <c r="S1209" s="330"/>
      <c r="T1209" s="330"/>
      <c r="U1209" s="331"/>
      <c r="V1209" s="186"/>
      <c r="W1209" s="186"/>
    </row>
    <row r="1210" spans="1:23" ht="15.75">
      <c r="A1210" s="191"/>
      <c r="B1210" s="191"/>
      <c r="C1210" s="191"/>
      <c r="D1210" s="192"/>
      <c r="E1210" s="329"/>
      <c r="F1210" s="330"/>
      <c r="G1210" s="330"/>
      <c r="H1210" s="330"/>
      <c r="I1210" s="330"/>
      <c r="J1210" s="330"/>
      <c r="K1210" s="330"/>
      <c r="L1210" s="330"/>
      <c r="M1210" s="330"/>
      <c r="N1210" s="330"/>
      <c r="O1210" s="330"/>
      <c r="P1210" s="330"/>
      <c r="Q1210" s="330"/>
      <c r="R1210" s="330"/>
      <c r="S1210" s="330"/>
      <c r="T1210" s="330"/>
      <c r="U1210" s="331"/>
      <c r="V1210" s="186"/>
      <c r="W1210" s="186"/>
    </row>
    <row r="1211" spans="1:23">
      <c r="A1211" s="191"/>
      <c r="B1211" s="191"/>
      <c r="C1211" s="191"/>
      <c r="D1211" s="192"/>
      <c r="E1211" s="193"/>
      <c r="F1211" s="194"/>
      <c r="G1211" s="194"/>
      <c r="H1211" s="195"/>
      <c r="I1211" s="196"/>
      <c r="J1211" s="197"/>
      <c r="K1211" s="193"/>
      <c r="L1211" s="198"/>
      <c r="M1211" s="199"/>
      <c r="N1211" s="194"/>
      <c r="O1211" s="193"/>
      <c r="P1211" s="193"/>
      <c r="Q1211" s="200"/>
      <c r="R1211" s="201"/>
      <c r="S1211" s="201"/>
      <c r="T1211" s="197"/>
      <c r="U1211" s="201"/>
      <c r="V1211" s="186"/>
      <c r="W1211" s="186"/>
    </row>
    <row r="1212" spans="1:23" ht="15.75">
      <c r="A1212" s="191"/>
      <c r="B1212" s="191"/>
      <c r="C1212" s="191"/>
      <c r="D1212" s="192"/>
      <c r="E1212" s="329"/>
      <c r="F1212" s="330"/>
      <c r="G1212" s="330"/>
      <c r="H1212" s="330"/>
      <c r="I1212" s="330"/>
      <c r="J1212" s="330"/>
      <c r="K1212" s="330"/>
      <c r="L1212" s="330"/>
      <c r="M1212" s="330"/>
      <c r="N1212" s="330"/>
      <c r="O1212" s="330"/>
      <c r="P1212" s="330"/>
      <c r="Q1212" s="330"/>
      <c r="R1212" s="330"/>
      <c r="S1212" s="330"/>
      <c r="T1212" s="330"/>
      <c r="U1212" s="331"/>
      <c r="V1212" s="186"/>
      <c r="W1212" s="186"/>
    </row>
    <row r="1213" spans="1:23">
      <c r="A1213" s="191"/>
      <c r="B1213" s="191"/>
      <c r="C1213" s="191"/>
      <c r="D1213" s="192"/>
      <c r="E1213" s="193"/>
      <c r="F1213" s="194"/>
      <c r="G1213" s="194"/>
      <c r="H1213" s="195"/>
      <c r="I1213" s="196"/>
      <c r="J1213" s="197"/>
      <c r="K1213" s="193"/>
      <c r="L1213" s="198"/>
      <c r="M1213" s="199"/>
      <c r="N1213" s="194"/>
      <c r="O1213" s="193"/>
      <c r="P1213" s="193"/>
      <c r="Q1213" s="200"/>
      <c r="R1213" s="201"/>
      <c r="S1213" s="201"/>
      <c r="T1213" s="197"/>
      <c r="U1213" s="201"/>
      <c r="V1213" s="186"/>
      <c r="W1213" s="186"/>
    </row>
    <row r="1214" spans="1:23" ht="15.75">
      <c r="A1214" s="191"/>
      <c r="B1214" s="191"/>
      <c r="C1214" s="191"/>
      <c r="D1214" s="192"/>
      <c r="E1214" s="329"/>
      <c r="F1214" s="330"/>
      <c r="G1214" s="330"/>
      <c r="H1214" s="330"/>
      <c r="I1214" s="330"/>
      <c r="J1214" s="330"/>
      <c r="K1214" s="330"/>
      <c r="L1214" s="330"/>
      <c r="M1214" s="330"/>
      <c r="N1214" s="330"/>
      <c r="O1214" s="330"/>
      <c r="P1214" s="330"/>
      <c r="Q1214" s="330"/>
      <c r="R1214" s="330"/>
      <c r="S1214" s="330"/>
      <c r="T1214" s="330"/>
      <c r="U1214" s="331"/>
      <c r="V1214" s="186"/>
      <c r="W1214" s="186"/>
    </row>
    <row r="1215" spans="1:23" ht="15.75">
      <c r="A1215" s="191"/>
      <c r="B1215" s="191"/>
      <c r="C1215" s="191"/>
      <c r="D1215" s="192"/>
      <c r="E1215" s="329"/>
      <c r="F1215" s="330"/>
      <c r="G1215" s="330"/>
      <c r="H1215" s="330"/>
      <c r="I1215" s="330"/>
      <c r="J1215" s="330"/>
      <c r="K1215" s="330"/>
      <c r="L1215" s="330"/>
      <c r="M1215" s="330"/>
      <c r="N1215" s="330"/>
      <c r="O1215" s="330"/>
      <c r="P1215" s="330"/>
      <c r="Q1215" s="330"/>
      <c r="R1215" s="330"/>
      <c r="S1215" s="330"/>
      <c r="T1215" s="330"/>
      <c r="U1215" s="331"/>
      <c r="V1215" s="186"/>
      <c r="W1215" s="186"/>
    </row>
    <row r="1216" spans="1:23" ht="15.75">
      <c r="A1216" s="191"/>
      <c r="B1216" s="191"/>
      <c r="C1216" s="191"/>
      <c r="D1216" s="192"/>
      <c r="E1216" s="329"/>
      <c r="F1216" s="330"/>
      <c r="G1216" s="330"/>
      <c r="H1216" s="330"/>
      <c r="I1216" s="330"/>
      <c r="J1216" s="330"/>
      <c r="K1216" s="330"/>
      <c r="L1216" s="330"/>
      <c r="M1216" s="330"/>
      <c r="N1216" s="330"/>
      <c r="O1216" s="330"/>
      <c r="P1216" s="330"/>
      <c r="Q1216" s="330"/>
      <c r="R1216" s="330"/>
      <c r="S1216" s="330"/>
      <c r="T1216" s="330"/>
      <c r="U1216" s="331"/>
      <c r="V1216" s="186"/>
      <c r="W1216" s="186"/>
    </row>
    <row r="1217" spans="1:23">
      <c r="A1217" s="191"/>
      <c r="B1217" s="191"/>
      <c r="C1217" s="191"/>
      <c r="D1217" s="192"/>
      <c r="E1217" s="193"/>
      <c r="F1217" s="194"/>
      <c r="G1217" s="194"/>
      <c r="H1217" s="195"/>
      <c r="I1217" s="196"/>
      <c r="J1217" s="197"/>
      <c r="K1217" s="193"/>
      <c r="L1217" s="198"/>
      <c r="M1217" s="199"/>
      <c r="N1217" s="194"/>
      <c r="O1217" s="193"/>
      <c r="P1217" s="193"/>
      <c r="Q1217" s="200"/>
      <c r="R1217" s="201"/>
      <c r="S1217" s="201"/>
      <c r="T1217" s="197"/>
      <c r="U1217" s="201"/>
      <c r="V1217" s="186"/>
      <c r="W1217" s="186"/>
    </row>
    <row r="1218" spans="1:23" ht="15.75">
      <c r="A1218" s="191"/>
      <c r="B1218" s="191"/>
      <c r="C1218" s="191"/>
      <c r="D1218" s="192"/>
      <c r="E1218" s="329"/>
      <c r="F1218" s="330"/>
      <c r="G1218" s="330"/>
      <c r="H1218" s="330"/>
      <c r="I1218" s="330"/>
      <c r="J1218" s="330"/>
      <c r="K1218" s="330"/>
      <c r="L1218" s="330"/>
      <c r="M1218" s="330"/>
      <c r="N1218" s="330"/>
      <c r="O1218" s="330"/>
      <c r="P1218" s="330"/>
      <c r="Q1218" s="330"/>
      <c r="R1218" s="330"/>
      <c r="S1218" s="330"/>
      <c r="T1218" s="330"/>
      <c r="U1218" s="331"/>
      <c r="V1218" s="186"/>
      <c r="W1218" s="186"/>
    </row>
    <row r="1219" spans="1:23">
      <c r="A1219" s="191"/>
      <c r="B1219" s="191"/>
      <c r="C1219" s="191"/>
      <c r="D1219" s="192"/>
      <c r="E1219" s="193"/>
      <c r="F1219" s="194"/>
      <c r="G1219" s="194"/>
      <c r="H1219" s="195"/>
      <c r="I1219" s="196"/>
      <c r="J1219" s="197"/>
      <c r="K1219" s="193"/>
      <c r="L1219" s="198"/>
      <c r="M1219" s="199"/>
      <c r="N1219" s="194"/>
      <c r="O1219" s="193"/>
      <c r="P1219" s="193"/>
      <c r="Q1219" s="200"/>
      <c r="R1219" s="201"/>
      <c r="S1219" s="201"/>
      <c r="T1219" s="197"/>
      <c r="U1219" s="201"/>
      <c r="V1219" s="186"/>
      <c r="W1219" s="186"/>
    </row>
    <row r="1220" spans="1:23" ht="15.75">
      <c r="A1220" s="191"/>
      <c r="B1220" s="191"/>
      <c r="C1220" s="191"/>
      <c r="D1220" s="192"/>
      <c r="E1220" s="329"/>
      <c r="F1220" s="330"/>
      <c r="G1220" s="330"/>
      <c r="H1220" s="330"/>
      <c r="I1220" s="330"/>
      <c r="J1220" s="330"/>
      <c r="K1220" s="330"/>
      <c r="L1220" s="330"/>
      <c r="M1220" s="330"/>
      <c r="N1220" s="330"/>
      <c r="O1220" s="330"/>
      <c r="P1220" s="330"/>
      <c r="Q1220" s="330"/>
      <c r="R1220" s="330"/>
      <c r="S1220" s="330"/>
      <c r="T1220" s="330"/>
      <c r="U1220" s="331"/>
      <c r="V1220" s="186"/>
      <c r="W1220" s="186"/>
    </row>
    <row r="1221" spans="1:23">
      <c r="A1221" s="191"/>
      <c r="B1221" s="191"/>
      <c r="C1221" s="191"/>
      <c r="D1221" s="192"/>
      <c r="E1221" s="193"/>
      <c r="F1221" s="194"/>
      <c r="G1221" s="194"/>
      <c r="H1221" s="195"/>
      <c r="I1221" s="196"/>
      <c r="J1221" s="197"/>
      <c r="K1221" s="193"/>
      <c r="L1221" s="198"/>
      <c r="M1221" s="199"/>
      <c r="N1221" s="194"/>
      <c r="O1221" s="193"/>
      <c r="P1221" s="193"/>
      <c r="Q1221" s="200"/>
      <c r="R1221" s="201"/>
      <c r="S1221" s="201"/>
      <c r="T1221" s="197"/>
      <c r="U1221" s="201"/>
      <c r="V1221" s="186"/>
      <c r="W1221" s="186"/>
    </row>
    <row r="1222" spans="1:23" ht="15.75">
      <c r="A1222" s="191"/>
      <c r="B1222" s="191"/>
      <c r="C1222" s="191"/>
      <c r="D1222" s="192"/>
      <c r="E1222" s="329"/>
      <c r="F1222" s="330"/>
      <c r="G1222" s="330"/>
      <c r="H1222" s="330"/>
      <c r="I1222" s="330"/>
      <c r="J1222" s="330"/>
      <c r="K1222" s="330"/>
      <c r="L1222" s="330"/>
      <c r="M1222" s="330"/>
      <c r="N1222" s="330"/>
      <c r="O1222" s="330"/>
      <c r="P1222" s="330"/>
      <c r="Q1222" s="330"/>
      <c r="R1222" s="330"/>
      <c r="S1222" s="330"/>
      <c r="T1222" s="330"/>
      <c r="U1222" s="331"/>
      <c r="V1222" s="186"/>
      <c r="W1222" s="186"/>
    </row>
    <row r="1223" spans="1:23">
      <c r="A1223" s="191"/>
      <c r="B1223" s="191"/>
      <c r="C1223" s="191"/>
      <c r="D1223" s="192"/>
      <c r="E1223" s="193"/>
      <c r="F1223" s="194"/>
      <c r="G1223" s="194"/>
      <c r="H1223" s="195"/>
      <c r="I1223" s="196"/>
      <c r="J1223" s="197"/>
      <c r="K1223" s="193"/>
      <c r="L1223" s="198"/>
      <c r="M1223" s="199"/>
      <c r="N1223" s="194"/>
      <c r="O1223" s="193"/>
      <c r="P1223" s="193"/>
      <c r="Q1223" s="200"/>
      <c r="R1223" s="201"/>
      <c r="S1223" s="201"/>
      <c r="T1223" s="197"/>
      <c r="U1223" s="201"/>
      <c r="V1223" s="186"/>
      <c r="W1223" s="186"/>
    </row>
    <row r="1224" spans="1:23" ht="15.75">
      <c r="A1224" s="191"/>
      <c r="B1224" s="191"/>
      <c r="C1224" s="191"/>
      <c r="D1224" s="192"/>
      <c r="E1224" s="329"/>
      <c r="F1224" s="330"/>
      <c r="G1224" s="330"/>
      <c r="H1224" s="330"/>
      <c r="I1224" s="330"/>
      <c r="J1224" s="330"/>
      <c r="K1224" s="330"/>
      <c r="L1224" s="330"/>
      <c r="M1224" s="330"/>
      <c r="N1224" s="330"/>
      <c r="O1224" s="330"/>
      <c r="P1224" s="330"/>
      <c r="Q1224" s="330"/>
      <c r="R1224" s="330"/>
      <c r="S1224" s="330"/>
      <c r="T1224" s="330"/>
      <c r="U1224" s="331"/>
      <c r="V1224" s="186"/>
      <c r="W1224" s="186"/>
    </row>
    <row r="1225" spans="1:23" ht="15.75">
      <c r="A1225" s="191"/>
      <c r="B1225" s="191"/>
      <c r="C1225" s="191"/>
      <c r="D1225" s="192"/>
      <c r="E1225" s="329"/>
      <c r="F1225" s="330"/>
      <c r="G1225" s="330"/>
      <c r="H1225" s="330"/>
      <c r="I1225" s="330"/>
      <c r="J1225" s="330"/>
      <c r="K1225" s="330"/>
      <c r="L1225" s="330"/>
      <c r="M1225" s="330"/>
      <c r="N1225" s="330"/>
      <c r="O1225" s="330"/>
      <c r="P1225" s="330"/>
      <c r="Q1225" s="330"/>
      <c r="R1225" s="330"/>
      <c r="S1225" s="330"/>
      <c r="T1225" s="330"/>
      <c r="U1225" s="331"/>
      <c r="V1225" s="186"/>
      <c r="W1225" s="186"/>
    </row>
    <row r="1226" spans="1:23" ht="15.75">
      <c r="A1226" s="202"/>
      <c r="B1226" s="332"/>
      <c r="C1226" s="333"/>
      <c r="D1226" s="334"/>
      <c r="E1226" s="334"/>
      <c r="F1226" s="334"/>
      <c r="G1226" s="334"/>
      <c r="H1226" s="334"/>
      <c r="I1226" s="334"/>
      <c r="J1226" s="334"/>
      <c r="K1226" s="334"/>
      <c r="L1226" s="334"/>
      <c r="M1226" s="334"/>
      <c r="N1226" s="334"/>
      <c r="O1226" s="334"/>
      <c r="P1226" s="334"/>
      <c r="Q1226" s="334"/>
      <c r="R1226" s="334"/>
      <c r="S1226" s="334"/>
      <c r="T1226" s="334"/>
      <c r="U1226" s="335"/>
      <c r="V1226" s="186"/>
      <c r="W1226" s="186"/>
    </row>
    <row r="1227" spans="1:23" ht="15.75">
      <c r="A1227" s="191"/>
      <c r="B1227" s="191"/>
      <c r="C1227" s="191"/>
      <c r="D1227" s="192"/>
      <c r="E1227" s="329"/>
      <c r="F1227" s="330"/>
      <c r="G1227" s="330"/>
      <c r="H1227" s="330"/>
      <c r="I1227" s="330"/>
      <c r="J1227" s="330"/>
      <c r="K1227" s="330"/>
      <c r="L1227" s="330"/>
      <c r="M1227" s="330"/>
      <c r="N1227" s="330"/>
      <c r="O1227" s="330"/>
      <c r="P1227" s="330"/>
      <c r="Q1227" s="330"/>
      <c r="R1227" s="330"/>
      <c r="S1227" s="330"/>
      <c r="T1227" s="330"/>
      <c r="U1227" s="331"/>
      <c r="V1227" s="186"/>
      <c r="W1227" s="186"/>
    </row>
    <row r="1228" spans="1:23" ht="15.75">
      <c r="A1228" s="191"/>
      <c r="B1228" s="191"/>
      <c r="C1228" s="191"/>
      <c r="D1228" s="192"/>
      <c r="E1228" s="329"/>
      <c r="F1228" s="330"/>
      <c r="G1228" s="330"/>
      <c r="H1228" s="330"/>
      <c r="I1228" s="330"/>
      <c r="J1228" s="330"/>
      <c r="K1228" s="330"/>
      <c r="L1228" s="330"/>
      <c r="M1228" s="330"/>
      <c r="N1228" s="330"/>
      <c r="O1228" s="330"/>
      <c r="P1228" s="330"/>
      <c r="Q1228" s="330"/>
      <c r="R1228" s="330"/>
      <c r="S1228" s="330"/>
      <c r="T1228" s="330"/>
      <c r="U1228" s="331"/>
      <c r="V1228" s="186"/>
      <c r="W1228" s="186"/>
    </row>
    <row r="1229" spans="1:23">
      <c r="A1229" s="191"/>
      <c r="B1229" s="191"/>
      <c r="C1229" s="191"/>
      <c r="D1229" s="192"/>
      <c r="E1229" s="193"/>
      <c r="F1229" s="194"/>
      <c r="G1229" s="194"/>
      <c r="H1229" s="195"/>
      <c r="I1229" s="196"/>
      <c r="J1229" s="197"/>
      <c r="K1229" s="193"/>
      <c r="L1229" s="198"/>
      <c r="M1229" s="199"/>
      <c r="N1229" s="194"/>
      <c r="O1229" s="193"/>
      <c r="P1229" s="193"/>
      <c r="Q1229" s="200"/>
      <c r="R1229" s="201"/>
      <c r="S1229" s="201"/>
      <c r="T1229" s="197"/>
      <c r="U1229" s="201"/>
      <c r="V1229" s="186"/>
      <c r="W1229" s="186"/>
    </row>
    <row r="1230" spans="1:23" ht="15.75">
      <c r="A1230" s="191"/>
      <c r="B1230" s="191"/>
      <c r="C1230" s="191"/>
      <c r="D1230" s="192"/>
      <c r="E1230" s="329"/>
      <c r="F1230" s="330"/>
      <c r="G1230" s="330"/>
      <c r="H1230" s="330"/>
      <c r="I1230" s="330"/>
      <c r="J1230" s="330"/>
      <c r="K1230" s="330"/>
      <c r="L1230" s="330"/>
      <c r="M1230" s="330"/>
      <c r="N1230" s="330"/>
      <c r="O1230" s="330"/>
      <c r="P1230" s="330"/>
      <c r="Q1230" s="330"/>
      <c r="R1230" s="330"/>
      <c r="S1230" s="330"/>
      <c r="T1230" s="330"/>
      <c r="U1230" s="331"/>
      <c r="V1230" s="186"/>
      <c r="W1230" s="186"/>
    </row>
    <row r="1231" spans="1:23" ht="15.75">
      <c r="A1231" s="191"/>
      <c r="B1231" s="191"/>
      <c r="C1231" s="191"/>
      <c r="D1231" s="192"/>
      <c r="E1231" s="329"/>
      <c r="F1231" s="330"/>
      <c r="G1231" s="330"/>
      <c r="H1231" s="330"/>
      <c r="I1231" s="330"/>
      <c r="J1231" s="330"/>
      <c r="K1231" s="330"/>
      <c r="L1231" s="330"/>
      <c r="M1231" s="330"/>
      <c r="N1231" s="330"/>
      <c r="O1231" s="330"/>
      <c r="P1231" s="330"/>
      <c r="Q1231" s="330"/>
      <c r="R1231" s="330"/>
      <c r="S1231" s="330"/>
      <c r="T1231" s="330"/>
      <c r="U1231" s="331"/>
      <c r="V1231" s="186"/>
      <c r="W1231" s="186"/>
    </row>
    <row r="1232" spans="1:23">
      <c r="A1232" s="191"/>
      <c r="B1232" s="191"/>
      <c r="C1232" s="191"/>
      <c r="D1232" s="192"/>
      <c r="E1232" s="193"/>
      <c r="F1232" s="194"/>
      <c r="G1232" s="194"/>
      <c r="H1232" s="195"/>
      <c r="I1232" s="196"/>
      <c r="J1232" s="197"/>
      <c r="K1232" s="193"/>
      <c r="L1232" s="198"/>
      <c r="M1232" s="199"/>
      <c r="N1232" s="194"/>
      <c r="O1232" s="193"/>
      <c r="P1232" s="193"/>
      <c r="Q1232" s="200"/>
      <c r="R1232" s="201"/>
      <c r="S1232" s="201"/>
      <c r="T1232" s="197"/>
      <c r="U1232" s="201"/>
      <c r="V1232" s="186"/>
      <c r="W1232" s="186"/>
    </row>
    <row r="1233" spans="1:23" ht="15.75">
      <c r="A1233" s="191"/>
      <c r="B1233" s="191"/>
      <c r="C1233" s="191"/>
      <c r="D1233" s="192"/>
      <c r="E1233" s="329"/>
      <c r="F1233" s="330"/>
      <c r="G1233" s="330"/>
      <c r="H1233" s="330"/>
      <c r="I1233" s="330"/>
      <c r="J1233" s="330"/>
      <c r="K1233" s="330"/>
      <c r="L1233" s="330"/>
      <c r="M1233" s="330"/>
      <c r="N1233" s="330"/>
      <c r="O1233" s="330"/>
      <c r="P1233" s="330"/>
      <c r="Q1233" s="330"/>
      <c r="R1233" s="330"/>
      <c r="S1233" s="330"/>
      <c r="T1233" s="330"/>
      <c r="U1233" s="331"/>
      <c r="V1233" s="186"/>
      <c r="W1233" s="186"/>
    </row>
    <row r="1234" spans="1:23" ht="15.75">
      <c r="A1234" s="191"/>
      <c r="B1234" s="191"/>
      <c r="C1234" s="191"/>
      <c r="D1234" s="192"/>
      <c r="E1234" s="329"/>
      <c r="F1234" s="330"/>
      <c r="G1234" s="330"/>
      <c r="H1234" s="330"/>
      <c r="I1234" s="330"/>
      <c r="J1234" s="330"/>
      <c r="K1234" s="330"/>
      <c r="L1234" s="330"/>
      <c r="M1234" s="330"/>
      <c r="N1234" s="330"/>
      <c r="O1234" s="330"/>
      <c r="P1234" s="330"/>
      <c r="Q1234" s="330"/>
      <c r="R1234" s="330"/>
      <c r="S1234" s="330"/>
      <c r="T1234" s="330"/>
      <c r="U1234" s="331"/>
      <c r="V1234" s="186"/>
      <c r="W1234" s="186"/>
    </row>
    <row r="1235" spans="1:23">
      <c r="A1235" s="191"/>
      <c r="B1235" s="191"/>
      <c r="C1235" s="191"/>
      <c r="D1235" s="192"/>
      <c r="E1235" s="193"/>
      <c r="F1235" s="194"/>
      <c r="G1235" s="194"/>
      <c r="H1235" s="195"/>
      <c r="I1235" s="196"/>
      <c r="J1235" s="197"/>
      <c r="K1235" s="193"/>
      <c r="L1235" s="198"/>
      <c r="M1235" s="199"/>
      <c r="N1235" s="194"/>
      <c r="O1235" s="193"/>
      <c r="P1235" s="193"/>
      <c r="Q1235" s="200"/>
      <c r="R1235" s="201"/>
      <c r="S1235" s="201"/>
      <c r="T1235" s="197"/>
      <c r="U1235" s="201"/>
      <c r="V1235" s="186"/>
      <c r="W1235" s="186"/>
    </row>
    <row r="1236" spans="1:23" ht="15.75">
      <c r="A1236" s="202"/>
      <c r="B1236" s="332"/>
      <c r="C1236" s="333"/>
      <c r="D1236" s="334"/>
      <c r="E1236" s="334"/>
      <c r="F1236" s="334"/>
      <c r="G1236" s="334"/>
      <c r="H1236" s="334"/>
      <c r="I1236" s="334"/>
      <c r="J1236" s="334"/>
      <c r="K1236" s="334"/>
      <c r="L1236" s="334"/>
      <c r="M1236" s="334"/>
      <c r="N1236" s="334"/>
      <c r="O1236" s="334"/>
      <c r="P1236" s="334"/>
      <c r="Q1236" s="334"/>
      <c r="R1236" s="334"/>
      <c r="S1236" s="334"/>
      <c r="T1236" s="334"/>
      <c r="U1236" s="335"/>
      <c r="V1236" s="186"/>
    </row>
    <row r="1237" spans="1:23" ht="15.75">
      <c r="A1237" s="218"/>
      <c r="B1237" s="332"/>
      <c r="C1237" s="333"/>
      <c r="D1237" s="334"/>
      <c r="E1237" s="334"/>
      <c r="F1237" s="334"/>
      <c r="G1237" s="334"/>
      <c r="H1237" s="334"/>
      <c r="I1237" s="334"/>
      <c r="J1237" s="334"/>
      <c r="K1237" s="334"/>
      <c r="L1237" s="334"/>
      <c r="M1237" s="334"/>
      <c r="N1237" s="334"/>
      <c r="O1237" s="334"/>
      <c r="P1237" s="334"/>
      <c r="Q1237" s="334"/>
      <c r="R1237" s="334"/>
      <c r="S1237" s="334"/>
      <c r="T1237" s="334"/>
      <c r="U1237" s="335"/>
      <c r="V1237" s="186"/>
    </row>
    <row r="1238" spans="1:23" ht="15.75">
      <c r="A1238" s="207"/>
      <c r="B1238" s="207"/>
      <c r="C1238" s="207"/>
      <c r="D1238" s="208"/>
      <c r="E1238" s="329"/>
      <c r="F1238" s="330"/>
      <c r="G1238" s="330"/>
      <c r="H1238" s="330"/>
      <c r="I1238" s="330"/>
      <c r="J1238" s="330"/>
      <c r="K1238" s="330"/>
      <c r="L1238" s="330"/>
      <c r="M1238" s="330"/>
      <c r="N1238" s="330"/>
      <c r="O1238" s="330"/>
      <c r="P1238" s="330"/>
      <c r="Q1238" s="330"/>
      <c r="R1238" s="330"/>
      <c r="S1238" s="330"/>
      <c r="T1238" s="330"/>
      <c r="U1238" s="331"/>
      <c r="V1238" s="186"/>
      <c r="W1238" s="186"/>
    </row>
    <row r="1239" spans="1:23" ht="15.75">
      <c r="A1239" s="207"/>
      <c r="B1239" s="207"/>
      <c r="C1239" s="207"/>
      <c r="D1239" s="208"/>
      <c r="E1239" s="329"/>
      <c r="F1239" s="330"/>
      <c r="G1239" s="330"/>
      <c r="H1239" s="330"/>
      <c r="I1239" s="330"/>
      <c r="J1239" s="330"/>
      <c r="K1239" s="330"/>
      <c r="L1239" s="330"/>
      <c r="M1239" s="330"/>
      <c r="N1239" s="330"/>
      <c r="O1239" s="330"/>
      <c r="P1239" s="330"/>
      <c r="Q1239" s="330"/>
      <c r="R1239" s="330"/>
      <c r="S1239" s="330"/>
      <c r="T1239" s="330"/>
      <c r="U1239" s="331"/>
      <c r="V1239" s="186"/>
      <c r="W1239" s="186"/>
    </row>
    <row r="1240" spans="1:23" ht="15.75">
      <c r="A1240" s="207"/>
      <c r="B1240" s="207"/>
      <c r="C1240" s="207"/>
      <c r="D1240" s="208"/>
      <c r="E1240" s="329"/>
      <c r="F1240" s="330"/>
      <c r="G1240" s="330"/>
      <c r="H1240" s="330"/>
      <c r="I1240" s="330"/>
      <c r="J1240" s="330"/>
      <c r="K1240" s="330"/>
      <c r="L1240" s="330"/>
      <c r="M1240" s="330"/>
      <c r="N1240" s="330"/>
      <c r="O1240" s="330"/>
      <c r="P1240" s="330"/>
      <c r="Q1240" s="330"/>
      <c r="R1240" s="330"/>
      <c r="S1240" s="330"/>
      <c r="T1240" s="330"/>
      <c r="U1240" s="331"/>
      <c r="V1240" s="186"/>
      <c r="W1240" s="186"/>
    </row>
    <row r="1241" spans="1:23" ht="15.75">
      <c r="A1241" s="207"/>
      <c r="B1241" s="207"/>
      <c r="C1241" s="207"/>
      <c r="D1241" s="208"/>
      <c r="E1241" s="329"/>
      <c r="F1241" s="330"/>
      <c r="G1241" s="330"/>
      <c r="H1241" s="330"/>
      <c r="I1241" s="330"/>
      <c r="J1241" s="330"/>
      <c r="K1241" s="330"/>
      <c r="L1241" s="330"/>
      <c r="M1241" s="330"/>
      <c r="N1241" s="330"/>
      <c r="O1241" s="330"/>
      <c r="P1241" s="330"/>
      <c r="Q1241" s="330"/>
      <c r="R1241" s="330"/>
      <c r="S1241" s="330"/>
      <c r="T1241" s="330"/>
      <c r="U1241" s="331"/>
      <c r="V1241" s="186"/>
      <c r="W1241" s="186"/>
    </row>
    <row r="1242" spans="1:23">
      <c r="A1242" s="336"/>
      <c r="B1242" s="336"/>
      <c r="C1242" s="207"/>
      <c r="D1242" s="338"/>
      <c r="E1242" s="340"/>
      <c r="F1242" s="210"/>
      <c r="G1242" s="210"/>
      <c r="H1242" s="211"/>
      <c r="I1242" s="212"/>
      <c r="J1242" s="213"/>
      <c r="K1242" s="209"/>
      <c r="L1242" s="214"/>
      <c r="M1242" s="215"/>
      <c r="N1242" s="210"/>
      <c r="O1242" s="209"/>
      <c r="P1242" s="209"/>
      <c r="Q1242" s="216"/>
      <c r="R1242" s="217"/>
      <c r="S1242" s="217"/>
      <c r="T1242" s="213"/>
      <c r="U1242" s="217"/>
      <c r="V1242" s="186"/>
      <c r="W1242" s="186"/>
    </row>
    <row r="1243" spans="1:23">
      <c r="A1243" s="337"/>
      <c r="B1243" s="337"/>
      <c r="C1243" s="207"/>
      <c r="D1243" s="339"/>
      <c r="E1243" s="341"/>
      <c r="F1243" s="342"/>
      <c r="G1243" s="343"/>
      <c r="H1243" s="343"/>
      <c r="I1243" s="343"/>
      <c r="J1243" s="343"/>
      <c r="K1243" s="343"/>
      <c r="L1243" s="343"/>
      <c r="M1243" s="343"/>
      <c r="N1243" s="343"/>
      <c r="O1243" s="343"/>
      <c r="P1243" s="343"/>
      <c r="Q1243" s="343"/>
      <c r="R1243" s="343"/>
      <c r="S1243" s="343"/>
      <c r="T1243" s="343"/>
      <c r="U1243" s="344"/>
      <c r="V1243" s="186"/>
      <c r="W1243" s="186"/>
    </row>
    <row r="1244" spans="1:23" ht="15.75">
      <c r="A1244" s="207"/>
      <c r="B1244" s="207"/>
      <c r="C1244" s="207"/>
      <c r="D1244" s="208"/>
      <c r="E1244" s="329"/>
      <c r="F1244" s="330"/>
      <c r="G1244" s="330"/>
      <c r="H1244" s="330"/>
      <c r="I1244" s="330"/>
      <c r="J1244" s="330"/>
      <c r="K1244" s="330"/>
      <c r="L1244" s="330"/>
      <c r="M1244" s="330"/>
      <c r="N1244" s="330"/>
      <c r="O1244" s="330"/>
      <c r="P1244" s="330"/>
      <c r="Q1244" s="330"/>
      <c r="R1244" s="330"/>
      <c r="S1244" s="330"/>
      <c r="T1244" s="330"/>
      <c r="U1244" s="331"/>
      <c r="V1244" s="186"/>
      <c r="W1244" s="186"/>
    </row>
    <row r="1245" spans="1:23" ht="15.75">
      <c r="A1245" s="207"/>
      <c r="B1245" s="207"/>
      <c r="C1245" s="207"/>
      <c r="D1245" s="208"/>
      <c r="E1245" s="329"/>
      <c r="F1245" s="330"/>
      <c r="G1245" s="330"/>
      <c r="H1245" s="330"/>
      <c r="I1245" s="330"/>
      <c r="J1245" s="330"/>
      <c r="K1245" s="330"/>
      <c r="L1245" s="330"/>
      <c r="M1245" s="330"/>
      <c r="N1245" s="330"/>
      <c r="O1245" s="330"/>
      <c r="P1245" s="330"/>
      <c r="Q1245" s="330"/>
      <c r="R1245" s="330"/>
      <c r="S1245" s="330"/>
      <c r="T1245" s="330"/>
      <c r="U1245" s="331"/>
      <c r="V1245" s="186"/>
      <c r="W1245" s="186"/>
    </row>
    <row r="1246" spans="1:23" ht="15.75">
      <c r="A1246" s="218"/>
      <c r="B1246" s="332"/>
      <c r="C1246" s="333"/>
      <c r="D1246" s="334"/>
      <c r="E1246" s="334"/>
      <c r="F1246" s="334"/>
      <c r="G1246" s="334"/>
      <c r="H1246" s="334"/>
      <c r="I1246" s="334"/>
      <c r="J1246" s="334"/>
      <c r="K1246" s="334"/>
      <c r="L1246" s="334"/>
      <c r="M1246" s="334"/>
      <c r="N1246" s="334"/>
      <c r="O1246" s="334"/>
      <c r="P1246" s="334"/>
      <c r="Q1246" s="334"/>
      <c r="R1246" s="334"/>
      <c r="S1246" s="334"/>
      <c r="T1246" s="334"/>
      <c r="U1246" s="335"/>
      <c r="V1246" s="186"/>
      <c r="W1246" s="52"/>
    </row>
    <row r="1247" spans="1:23" ht="15.75">
      <c r="A1247" s="207"/>
      <c r="B1247" s="207"/>
      <c r="C1247" s="207"/>
      <c r="D1247" s="208"/>
      <c r="E1247" s="329"/>
      <c r="F1247" s="330"/>
      <c r="G1247" s="330"/>
      <c r="H1247" s="330"/>
      <c r="I1247" s="330"/>
      <c r="J1247" s="330"/>
      <c r="K1247" s="330"/>
      <c r="L1247" s="330"/>
      <c r="M1247" s="330"/>
      <c r="N1247" s="330"/>
      <c r="O1247" s="330"/>
      <c r="P1247" s="330"/>
      <c r="Q1247" s="330"/>
      <c r="R1247" s="330"/>
      <c r="S1247" s="330"/>
      <c r="T1247" s="330"/>
      <c r="U1247" s="331"/>
      <c r="V1247" s="186"/>
      <c r="W1247" s="186"/>
    </row>
    <row r="1248" spans="1:23" ht="15.75">
      <c r="A1248" s="207"/>
      <c r="B1248" s="207"/>
      <c r="C1248" s="207"/>
      <c r="D1248" s="208"/>
      <c r="E1248" s="329"/>
      <c r="F1248" s="330"/>
      <c r="G1248" s="330"/>
      <c r="H1248" s="330"/>
      <c r="I1248" s="330"/>
      <c r="J1248" s="330"/>
      <c r="K1248" s="330"/>
      <c r="L1248" s="330"/>
      <c r="M1248" s="330"/>
      <c r="N1248" s="330"/>
      <c r="O1248" s="330"/>
      <c r="P1248" s="330"/>
      <c r="Q1248" s="330"/>
      <c r="R1248" s="330"/>
      <c r="S1248" s="330"/>
      <c r="T1248" s="330"/>
      <c r="U1248" s="331"/>
      <c r="V1248" s="186"/>
      <c r="W1248" s="186"/>
    </row>
    <row r="1249" spans="1:23" ht="15.75">
      <c r="A1249" s="207"/>
      <c r="B1249" s="207"/>
      <c r="C1249" s="207"/>
      <c r="D1249" s="208"/>
      <c r="E1249" s="329"/>
      <c r="F1249" s="330"/>
      <c r="G1249" s="330"/>
      <c r="H1249" s="330"/>
      <c r="I1249" s="330"/>
      <c r="J1249" s="330"/>
      <c r="K1249" s="330"/>
      <c r="L1249" s="330"/>
      <c r="M1249" s="330"/>
      <c r="N1249" s="330"/>
      <c r="O1249" s="330"/>
      <c r="P1249" s="330"/>
      <c r="Q1249" s="330"/>
      <c r="R1249" s="330"/>
      <c r="S1249" s="330"/>
      <c r="T1249" s="330"/>
      <c r="U1249" s="331"/>
      <c r="V1249" s="186"/>
      <c r="W1249" s="186"/>
    </row>
    <row r="1250" spans="1:23" ht="15.75">
      <c r="A1250" s="218"/>
      <c r="B1250" s="332"/>
      <c r="C1250" s="333"/>
      <c r="D1250" s="334"/>
      <c r="E1250" s="334"/>
      <c r="F1250" s="334"/>
      <c r="G1250" s="334"/>
      <c r="H1250" s="334"/>
      <c r="I1250" s="334"/>
      <c r="J1250" s="334"/>
      <c r="K1250" s="334"/>
      <c r="L1250" s="334"/>
      <c r="M1250" s="334"/>
      <c r="N1250" s="334"/>
      <c r="O1250" s="334"/>
      <c r="P1250" s="334"/>
      <c r="Q1250" s="334"/>
      <c r="R1250" s="334"/>
      <c r="S1250" s="334"/>
      <c r="T1250" s="334"/>
      <c r="U1250" s="335"/>
      <c r="V1250" s="186"/>
      <c r="W1250" s="52"/>
    </row>
  </sheetData>
  <mergeCells count="1065">
    <mergeCell ref="B713:U713"/>
    <mergeCell ref="E714:U714"/>
    <mergeCell ref="E715:U715"/>
    <mergeCell ref="E716:U716"/>
    <mergeCell ref="E717:U717"/>
    <mergeCell ref="B736:U736"/>
    <mergeCell ref="B756:U756"/>
    <mergeCell ref="B775:U775"/>
    <mergeCell ref="B793:U793"/>
    <mergeCell ref="B811:U811"/>
    <mergeCell ref="E743:U743"/>
    <mergeCell ref="E744:U744"/>
    <mergeCell ref="E745:U745"/>
    <mergeCell ref="E747:U747"/>
    <mergeCell ref="E726:U726"/>
    <mergeCell ref="E727:U727"/>
    <mergeCell ref="E728:U728"/>
    <mergeCell ref="E730:U730"/>
    <mergeCell ref="E731:U731"/>
    <mergeCell ref="E732:U732"/>
    <mergeCell ref="E719:U719"/>
    <mergeCell ref="E720:U720"/>
    <mergeCell ref="E722:U722"/>
    <mergeCell ref="E723:U723"/>
    <mergeCell ref="E724:U724"/>
    <mergeCell ref="E725:U725"/>
    <mergeCell ref="E752:U752"/>
    <mergeCell ref="E753:U753"/>
    <mergeCell ref="E755:U755"/>
    <mergeCell ref="E733:U733"/>
    <mergeCell ref="E735:U735"/>
    <mergeCell ref="E737:U737"/>
    <mergeCell ref="E739:U739"/>
    <mergeCell ref="E741:U741"/>
    <mergeCell ref="E742:U742"/>
    <mergeCell ref="E765:U765"/>
    <mergeCell ref="E766:U766"/>
    <mergeCell ref="E768:U768"/>
    <mergeCell ref="E769:U769"/>
    <mergeCell ref="E771:U771"/>
    <mergeCell ref="E772:U772"/>
    <mergeCell ref="E757:U757"/>
    <mergeCell ref="E759:U759"/>
    <mergeCell ref="E761:U761"/>
    <mergeCell ref="E762:U762"/>
    <mergeCell ref="E763:U763"/>
    <mergeCell ref="E764:U764"/>
    <mergeCell ref="E780:U780"/>
    <mergeCell ref="E782:U782"/>
    <mergeCell ref="E783:U783"/>
    <mergeCell ref="E784:U784"/>
    <mergeCell ref="E786:U786"/>
    <mergeCell ref="E787:U787"/>
    <mergeCell ref="E773:U773"/>
    <mergeCell ref="E774:U774"/>
    <mergeCell ref="E776:U776"/>
    <mergeCell ref="E777:U777"/>
    <mergeCell ref="E778:U778"/>
    <mergeCell ref="E779:U779"/>
    <mergeCell ref="E796:U796"/>
    <mergeCell ref="E797:U797"/>
    <mergeCell ref="E799:U799"/>
    <mergeCell ref="E800:U800"/>
    <mergeCell ref="E802:U802"/>
    <mergeCell ref="E804:U804"/>
    <mergeCell ref="E788:U788"/>
    <mergeCell ref="E790:U790"/>
    <mergeCell ref="E791:U791"/>
    <mergeCell ref="E792:U792"/>
    <mergeCell ref="E794:U794"/>
    <mergeCell ref="E795:U795"/>
    <mergeCell ref="E815:U815"/>
    <mergeCell ref="E816:U816"/>
    <mergeCell ref="E817:U817"/>
    <mergeCell ref="E819:U819"/>
    <mergeCell ref="E820:U820"/>
    <mergeCell ref="E821:U821"/>
    <mergeCell ref="E805:U805"/>
    <mergeCell ref="E807:U807"/>
    <mergeCell ref="E809:U809"/>
    <mergeCell ref="E810:U810"/>
    <mergeCell ref="E812:U812"/>
    <mergeCell ref="E813:U813"/>
    <mergeCell ref="E834:U834"/>
    <mergeCell ref="E835:U835"/>
    <mergeCell ref="E838:U838"/>
    <mergeCell ref="E836:E837"/>
    <mergeCell ref="E822:U822"/>
    <mergeCell ref="E824:U824"/>
    <mergeCell ref="E825:U825"/>
    <mergeCell ref="E826:U826"/>
    <mergeCell ref="E828:U828"/>
    <mergeCell ref="E829:U829"/>
    <mergeCell ref="B832:U832"/>
    <mergeCell ref="A858:A859"/>
    <mergeCell ref="B858:B859"/>
    <mergeCell ref="D858:D859"/>
    <mergeCell ref="E858:E859"/>
    <mergeCell ref="F837:U837"/>
    <mergeCell ref="A836:A837"/>
    <mergeCell ref="B836:B837"/>
    <mergeCell ref="D836:D837"/>
    <mergeCell ref="E857:U857"/>
    <mergeCell ref="F859:U859"/>
    <mergeCell ref="E849:U849"/>
    <mergeCell ref="E850:U850"/>
    <mergeCell ref="E851:U851"/>
    <mergeCell ref="E853:U853"/>
    <mergeCell ref="E854:U854"/>
    <mergeCell ref="E856:U856"/>
    <mergeCell ref="E840:U840"/>
    <mergeCell ref="E841:U841"/>
    <mergeCell ref="E842:U842"/>
    <mergeCell ref="E844:U844"/>
    <mergeCell ref="E846:U846"/>
    <mergeCell ref="E847:U847"/>
    <mergeCell ref="B5:U5"/>
    <mergeCell ref="B12:U12"/>
    <mergeCell ref="B111:U111"/>
    <mergeCell ref="E92:U92"/>
    <mergeCell ref="E94:U94"/>
    <mergeCell ref="E95:U95"/>
    <mergeCell ref="E97:U97"/>
    <mergeCell ref="B28:U28"/>
    <mergeCell ref="B50:U50"/>
    <mergeCell ref="B65:U65"/>
    <mergeCell ref="B76:U76"/>
    <mergeCell ref="B78:U78"/>
    <mergeCell ref="B81:U81"/>
    <mergeCell ref="E34:U34"/>
    <mergeCell ref="E35:U35"/>
    <mergeCell ref="E36:U36"/>
    <mergeCell ref="E38:U38"/>
    <mergeCell ref="E24:U24"/>
    <mergeCell ref="E25:U25"/>
    <mergeCell ref="E27:U27"/>
    <mergeCell ref="E29:U29"/>
    <mergeCell ref="E30:U30"/>
    <mergeCell ref="E31:U31"/>
    <mergeCell ref="E16:U16"/>
    <mergeCell ref="E17:U17"/>
    <mergeCell ref="E19:U19"/>
    <mergeCell ref="E20:U20"/>
    <mergeCell ref="E21:U21"/>
    <mergeCell ref="E22:U22"/>
    <mergeCell ref="E48:U48"/>
    <mergeCell ref="E49:U49"/>
    <mergeCell ref="E51:U51"/>
    <mergeCell ref="E261:U261"/>
    <mergeCell ref="E264:U264"/>
    <mergeCell ref="E267:U267"/>
    <mergeCell ref="E268:U268"/>
    <mergeCell ref="B677:U677"/>
    <mergeCell ref="B679:U679"/>
    <mergeCell ref="E477:U477"/>
    <mergeCell ref="E478:U478"/>
    <mergeCell ref="B352:U352"/>
    <mergeCell ref="B377:U377"/>
    <mergeCell ref="B397:U397"/>
    <mergeCell ref="B423:U423"/>
    <mergeCell ref="B448:U448"/>
    <mergeCell ref="E306:U306"/>
    <mergeCell ref="E308:U308"/>
    <mergeCell ref="E309:U309"/>
    <mergeCell ref="E310:U310"/>
    <mergeCell ref="E312:U312"/>
    <mergeCell ref="E313:U313"/>
    <mergeCell ref="E296:U296"/>
    <mergeCell ref="E297:U297"/>
    <mergeCell ref="B631:U631"/>
    <mergeCell ref="E512:U512"/>
    <mergeCell ref="E513:U513"/>
    <mergeCell ref="E514:U514"/>
    <mergeCell ref="E515:U515"/>
    <mergeCell ref="E300:U300"/>
    <mergeCell ref="E301:U301"/>
    <mergeCell ref="E302:U302"/>
    <mergeCell ref="E305:U305"/>
    <mergeCell ref="F304:U304"/>
    <mergeCell ref="E324:U324"/>
    <mergeCell ref="E6:U6"/>
    <mergeCell ref="E7:U7"/>
    <mergeCell ref="E8:U8"/>
    <mergeCell ref="E10:U10"/>
    <mergeCell ref="E11:U11"/>
    <mergeCell ref="E13:U13"/>
    <mergeCell ref="E14:U14"/>
    <mergeCell ref="B654:U654"/>
    <mergeCell ref="B673:U673"/>
    <mergeCell ref="B463:U463"/>
    <mergeCell ref="B464:U464"/>
    <mergeCell ref="B466:U466"/>
    <mergeCell ref="B468:U468"/>
    <mergeCell ref="B470:U470"/>
    <mergeCell ref="B487:U487"/>
    <mergeCell ref="E474:U474"/>
    <mergeCell ref="E475:U475"/>
    <mergeCell ref="B461:U461"/>
    <mergeCell ref="E353:U353"/>
    <mergeCell ref="E354:U354"/>
    <mergeCell ref="E356:U356"/>
    <mergeCell ref="E357:U357"/>
    <mergeCell ref="B259:U259"/>
    <mergeCell ref="B282:U282"/>
    <mergeCell ref="B288:U288"/>
    <mergeCell ref="B293:U293"/>
    <mergeCell ref="B311:U311"/>
    <mergeCell ref="E79:U79"/>
    <mergeCell ref="B82:U82"/>
    <mergeCell ref="B83:U83"/>
    <mergeCell ref="B84:U84"/>
    <mergeCell ref="B86:U86"/>
    <mergeCell ref="B103:U103"/>
    <mergeCell ref="E52:U52"/>
    <mergeCell ref="E53:U53"/>
    <mergeCell ref="E55:U55"/>
    <mergeCell ref="E39:U39"/>
    <mergeCell ref="E41:U41"/>
    <mergeCell ref="E42:U42"/>
    <mergeCell ref="E44:U44"/>
    <mergeCell ref="E45:U45"/>
    <mergeCell ref="E47:U47"/>
    <mergeCell ref="E63:U63"/>
    <mergeCell ref="E64:U64"/>
    <mergeCell ref="E66:U66"/>
    <mergeCell ref="E67:U67"/>
    <mergeCell ref="E68:U68"/>
    <mergeCell ref="E71:U71"/>
    <mergeCell ref="E56:U56"/>
    <mergeCell ref="E57:U57"/>
    <mergeCell ref="E58:U58"/>
    <mergeCell ref="E59:U59"/>
    <mergeCell ref="E60:U60"/>
    <mergeCell ref="E62:U62"/>
    <mergeCell ref="E87:U87"/>
    <mergeCell ref="E88:U88"/>
    <mergeCell ref="E89:U89"/>
    <mergeCell ref="E90:U90"/>
    <mergeCell ref="E72:U72"/>
    <mergeCell ref="E73:U73"/>
    <mergeCell ref="E74:U74"/>
    <mergeCell ref="E75:U75"/>
    <mergeCell ref="E77:U77"/>
    <mergeCell ref="E145:U145"/>
    <mergeCell ref="E147:U147"/>
    <mergeCell ref="E148:U148"/>
    <mergeCell ref="E149:U149"/>
    <mergeCell ref="E127:U127"/>
    <mergeCell ref="E128:U128"/>
    <mergeCell ref="E131:U131"/>
    <mergeCell ref="E133:U133"/>
    <mergeCell ref="E134:U134"/>
    <mergeCell ref="E135:U135"/>
    <mergeCell ref="B136:U136"/>
    <mergeCell ref="E137:U137"/>
    <mergeCell ref="E138:U138"/>
    <mergeCell ref="E140:U140"/>
    <mergeCell ref="E141:U141"/>
    <mergeCell ref="E158:U158"/>
    <mergeCell ref="E159:U159"/>
    <mergeCell ref="E143:U143"/>
    <mergeCell ref="E144:U144"/>
    <mergeCell ref="E161:U161"/>
    <mergeCell ref="E162:U162"/>
    <mergeCell ref="E163:U163"/>
    <mergeCell ref="E165:U165"/>
    <mergeCell ref="E150:U150"/>
    <mergeCell ref="E152:U152"/>
    <mergeCell ref="E153:U153"/>
    <mergeCell ref="E155:U155"/>
    <mergeCell ref="E156:U156"/>
    <mergeCell ref="E157:U157"/>
    <mergeCell ref="B154:U154"/>
    <mergeCell ref="E173:U173"/>
    <mergeCell ref="E174:U174"/>
    <mergeCell ref="E176:U176"/>
    <mergeCell ref="E177:U177"/>
    <mergeCell ref="E179:U179"/>
    <mergeCell ref="E180:U180"/>
    <mergeCell ref="E166:U166"/>
    <mergeCell ref="E167:U167"/>
    <mergeCell ref="E169:U169"/>
    <mergeCell ref="E170:U170"/>
    <mergeCell ref="E171:U171"/>
    <mergeCell ref="E172:U172"/>
    <mergeCell ref="B168:U168"/>
    <mergeCell ref="E221:U221"/>
    <mergeCell ref="E222:U222"/>
    <mergeCell ref="E190:U190"/>
    <mergeCell ref="E191:U191"/>
    <mergeCell ref="E192:U192"/>
    <mergeCell ref="E193:U193"/>
    <mergeCell ref="E195:U195"/>
    <mergeCell ref="E196:U196"/>
    <mergeCell ref="E182:U182"/>
    <mergeCell ref="E183:U183"/>
    <mergeCell ref="E185:U185"/>
    <mergeCell ref="E186:U186"/>
    <mergeCell ref="E188:U188"/>
    <mergeCell ref="E189:U189"/>
    <mergeCell ref="B187:U187"/>
    <mergeCell ref="E206:U206"/>
    <mergeCell ref="E208:U208"/>
    <mergeCell ref="E210:U210"/>
    <mergeCell ref="E211:U211"/>
    <mergeCell ref="E240:U240"/>
    <mergeCell ref="B236:U236"/>
    <mergeCell ref="E273:U273"/>
    <mergeCell ref="E274:U274"/>
    <mergeCell ref="E276:U276"/>
    <mergeCell ref="E277:U277"/>
    <mergeCell ref="E251:U251"/>
    <mergeCell ref="E252:U252"/>
    <mergeCell ref="E255:U255"/>
    <mergeCell ref="E257:U257"/>
    <mergeCell ref="E258:U258"/>
    <mergeCell ref="E260:U260"/>
    <mergeCell ref="F263:U263"/>
    <mergeCell ref="E212:U212"/>
    <mergeCell ref="E214:U214"/>
    <mergeCell ref="E198:U198"/>
    <mergeCell ref="E199:U199"/>
    <mergeCell ref="E201:U201"/>
    <mergeCell ref="E203:U203"/>
    <mergeCell ref="E204:U204"/>
    <mergeCell ref="E205:U205"/>
    <mergeCell ref="B209:U209"/>
    <mergeCell ref="E224:U224"/>
    <mergeCell ref="E225:U225"/>
    <mergeCell ref="E226:U226"/>
    <mergeCell ref="E227:U227"/>
    <mergeCell ref="E229:U229"/>
    <mergeCell ref="E230:U230"/>
    <mergeCell ref="E215:U215"/>
    <mergeCell ref="E217:U217"/>
    <mergeCell ref="E218:U218"/>
    <mergeCell ref="E220:U220"/>
    <mergeCell ref="E320:U320"/>
    <mergeCell ref="E321:U321"/>
    <mergeCell ref="E323:U323"/>
    <mergeCell ref="B325:U325"/>
    <mergeCell ref="E375:U375"/>
    <mergeCell ref="E358:U358"/>
    <mergeCell ref="E360:U360"/>
    <mergeCell ref="E361:U361"/>
    <mergeCell ref="E362:U362"/>
    <mergeCell ref="E364:U364"/>
    <mergeCell ref="E365:U365"/>
    <mergeCell ref="E345:U345"/>
    <mergeCell ref="E346:U346"/>
    <mergeCell ref="E347:U347"/>
    <mergeCell ref="E349:U349"/>
    <mergeCell ref="E350:U350"/>
    <mergeCell ref="E351:U351"/>
    <mergeCell ref="E385:U385"/>
    <mergeCell ref="E387:U387"/>
    <mergeCell ref="E388:U388"/>
    <mergeCell ref="E389:U389"/>
    <mergeCell ref="E372:U372"/>
    <mergeCell ref="E373:U373"/>
    <mergeCell ref="E481:U481"/>
    <mergeCell ref="E482:U482"/>
    <mergeCell ref="E484:U484"/>
    <mergeCell ref="E485:U485"/>
    <mergeCell ref="E486:U486"/>
    <mergeCell ref="E462:U462"/>
    <mergeCell ref="E465:U465"/>
    <mergeCell ref="E467:U467"/>
    <mergeCell ref="E469:U469"/>
    <mergeCell ref="E471:U471"/>
    <mergeCell ref="E472:U472"/>
    <mergeCell ref="E392:U392"/>
    <mergeCell ref="E393:U393"/>
    <mergeCell ref="F391:U391"/>
    <mergeCell ref="E376:U376"/>
    <mergeCell ref="E378:U378"/>
    <mergeCell ref="E379:U379"/>
    <mergeCell ref="E381:U381"/>
    <mergeCell ref="E383:U383"/>
    <mergeCell ref="E384:U384"/>
    <mergeCell ref="E420:U420"/>
    <mergeCell ref="E421:U421"/>
    <mergeCell ref="E422:U422"/>
    <mergeCell ref="E424:U424"/>
    <mergeCell ref="E425:U425"/>
    <mergeCell ref="E427:U427"/>
    <mergeCell ref="E412:U412"/>
    <mergeCell ref="E414:U414"/>
    <mergeCell ref="E415:U415"/>
    <mergeCell ref="E416:U416"/>
    <mergeCell ref="E417:U417"/>
    <mergeCell ref="E419:U419"/>
    <mergeCell ref="E507:U507"/>
    <mergeCell ref="E509:U509"/>
    <mergeCell ref="E510:U510"/>
    <mergeCell ref="E496:U496"/>
    <mergeCell ref="E498:U498"/>
    <mergeCell ref="E499:U499"/>
    <mergeCell ref="E500:U500"/>
    <mergeCell ref="E501:U501"/>
    <mergeCell ref="E503:U503"/>
    <mergeCell ref="E524:U524"/>
    <mergeCell ref="E525:U525"/>
    <mergeCell ref="E488:U488"/>
    <mergeCell ref="E489:U489"/>
    <mergeCell ref="E491:U491"/>
    <mergeCell ref="E492:U492"/>
    <mergeCell ref="E494:U494"/>
    <mergeCell ref="E495:U495"/>
    <mergeCell ref="E479:U479"/>
    <mergeCell ref="E454:U454"/>
    <mergeCell ref="E456:U456"/>
    <mergeCell ref="E457:U457"/>
    <mergeCell ref="E458:U458"/>
    <mergeCell ref="E459:U459"/>
    <mergeCell ref="E460:U460"/>
    <mergeCell ref="E446:U446"/>
    <mergeCell ref="E428:U428"/>
    <mergeCell ref="E555:U555"/>
    <mergeCell ref="E556:U556"/>
    <mergeCell ref="E572:U572"/>
    <mergeCell ref="E574:U574"/>
    <mergeCell ref="E575:U575"/>
    <mergeCell ref="E527:U527"/>
    <mergeCell ref="E528:U528"/>
    <mergeCell ref="E530:U530"/>
    <mergeCell ref="E531:U531"/>
    <mergeCell ref="E516:U516"/>
    <mergeCell ref="E517:U517"/>
    <mergeCell ref="E518:U518"/>
    <mergeCell ref="E520:U520"/>
    <mergeCell ref="E521:U521"/>
    <mergeCell ref="E522:U522"/>
    <mergeCell ref="B511:U511"/>
    <mergeCell ref="E542:U542"/>
    <mergeCell ref="E543:U543"/>
    <mergeCell ref="E545:U545"/>
    <mergeCell ref="E546:U546"/>
    <mergeCell ref="E547:U547"/>
    <mergeCell ref="E548:U548"/>
    <mergeCell ref="E533:U533"/>
    <mergeCell ref="E534:U534"/>
    <mergeCell ref="E536:U536"/>
    <mergeCell ref="E537:U537"/>
    <mergeCell ref="E539:U539"/>
    <mergeCell ref="E540:U540"/>
    <mergeCell ref="E623:U623"/>
    <mergeCell ref="E625:U625"/>
    <mergeCell ref="E626:U626"/>
    <mergeCell ref="E577:U577"/>
    <mergeCell ref="E578:U578"/>
    <mergeCell ref="E580:U580"/>
    <mergeCell ref="E565:U565"/>
    <mergeCell ref="E566:U566"/>
    <mergeCell ref="E567:U567"/>
    <mergeCell ref="E568:U568"/>
    <mergeCell ref="E569:U569"/>
    <mergeCell ref="E571:U571"/>
    <mergeCell ref="E589:U589"/>
    <mergeCell ref="E591:U591"/>
    <mergeCell ref="E592:U592"/>
    <mergeCell ref="E594:U594"/>
    <mergeCell ref="E596:U596"/>
    <mergeCell ref="E597:U597"/>
    <mergeCell ref="E581:U581"/>
    <mergeCell ref="E582:U582"/>
    <mergeCell ref="E583:U583"/>
    <mergeCell ref="E585:U585"/>
    <mergeCell ref="E586:U586"/>
    <mergeCell ref="E588:U588"/>
    <mergeCell ref="E120:U120"/>
    <mergeCell ref="E122:U122"/>
    <mergeCell ref="E106:U106"/>
    <mergeCell ref="E107:U107"/>
    <mergeCell ref="E80:U80"/>
    <mergeCell ref="E85:U85"/>
    <mergeCell ref="E607:U607"/>
    <mergeCell ref="E609:U609"/>
    <mergeCell ref="E610:U610"/>
    <mergeCell ref="E612:U612"/>
    <mergeCell ref="E613:U613"/>
    <mergeCell ref="B587:U587"/>
    <mergeCell ref="B605:U605"/>
    <mergeCell ref="E614:U614"/>
    <mergeCell ref="E598:U598"/>
    <mergeCell ref="E599:U599"/>
    <mergeCell ref="E601:U601"/>
    <mergeCell ref="E602:U602"/>
    <mergeCell ref="E604:U604"/>
    <mergeCell ref="E606:U606"/>
    <mergeCell ref="E558:U558"/>
    <mergeCell ref="E559:U559"/>
    <mergeCell ref="E560:U560"/>
    <mergeCell ref="E562:U562"/>
    <mergeCell ref="E563:U563"/>
    <mergeCell ref="B538:U538"/>
    <mergeCell ref="B561:U561"/>
    <mergeCell ref="E564:U564"/>
    <mergeCell ref="E549:U549"/>
    <mergeCell ref="E551:U551"/>
    <mergeCell ref="E552:U552"/>
    <mergeCell ref="E554:U554"/>
    <mergeCell ref="E639:U639"/>
    <mergeCell ref="B681:U681"/>
    <mergeCell ref="E657:U657"/>
    <mergeCell ref="E658:U658"/>
    <mergeCell ref="E659:U659"/>
    <mergeCell ref="E660:U660"/>
    <mergeCell ref="E627:U627"/>
    <mergeCell ref="E629:U629"/>
    <mergeCell ref="E630:U630"/>
    <mergeCell ref="E616:U616"/>
    <mergeCell ref="E617:U617"/>
    <mergeCell ref="E619:U619"/>
    <mergeCell ref="E620:U620"/>
    <mergeCell ref="E621:U621"/>
    <mergeCell ref="E622:U622"/>
    <mergeCell ref="F33:U33"/>
    <mergeCell ref="A32:A33"/>
    <mergeCell ref="B32:B33"/>
    <mergeCell ref="D32:D33"/>
    <mergeCell ref="E32:E33"/>
    <mergeCell ref="F70:U70"/>
    <mergeCell ref="A69:A70"/>
    <mergeCell ref="B69:B70"/>
    <mergeCell ref="D69:D70"/>
    <mergeCell ref="E69:E70"/>
    <mergeCell ref="F130:U130"/>
    <mergeCell ref="A129:A130"/>
    <mergeCell ref="B129:B130"/>
    <mergeCell ref="D129:D130"/>
    <mergeCell ref="E129:E130"/>
    <mergeCell ref="E117:U117"/>
    <mergeCell ref="E119:U119"/>
    <mergeCell ref="E124:U124"/>
    <mergeCell ref="E125:U125"/>
    <mergeCell ref="E109:U109"/>
    <mergeCell ref="E110:U110"/>
    <mergeCell ref="E112:U112"/>
    <mergeCell ref="E113:U113"/>
    <mergeCell ref="E114:U114"/>
    <mergeCell ref="E115:U115"/>
    <mergeCell ref="E99:U99"/>
    <mergeCell ref="E101:U101"/>
    <mergeCell ref="E102:U102"/>
    <mergeCell ref="F250:U250"/>
    <mergeCell ref="A249:A250"/>
    <mergeCell ref="B249:B250"/>
    <mergeCell ref="D249:D250"/>
    <mergeCell ref="E249:E250"/>
    <mergeCell ref="F254:U254"/>
    <mergeCell ref="A253:A254"/>
    <mergeCell ref="B253:B254"/>
    <mergeCell ref="D253:D254"/>
    <mergeCell ref="E253:E254"/>
    <mergeCell ref="E241:U241"/>
    <mergeCell ref="E243:U243"/>
    <mergeCell ref="E244:U244"/>
    <mergeCell ref="E245:U245"/>
    <mergeCell ref="E247:U247"/>
    <mergeCell ref="E248:U248"/>
    <mergeCell ref="E232:U232"/>
    <mergeCell ref="E234:U234"/>
    <mergeCell ref="E235:U235"/>
    <mergeCell ref="E237:U237"/>
    <mergeCell ref="E238:U238"/>
    <mergeCell ref="A262:A263"/>
    <mergeCell ref="B262:B263"/>
    <mergeCell ref="D262:D263"/>
    <mergeCell ref="E262:E263"/>
    <mergeCell ref="F299:U299"/>
    <mergeCell ref="A298:A299"/>
    <mergeCell ref="B298:B299"/>
    <mergeCell ref="D298:D299"/>
    <mergeCell ref="E298:E299"/>
    <mergeCell ref="E287:U287"/>
    <mergeCell ref="E289:U289"/>
    <mergeCell ref="E290:U290"/>
    <mergeCell ref="E291:U291"/>
    <mergeCell ref="E292:U292"/>
    <mergeCell ref="E294:U294"/>
    <mergeCell ref="E278:U278"/>
    <mergeCell ref="E280:U280"/>
    <mergeCell ref="E281:U281"/>
    <mergeCell ref="E283:U283"/>
    <mergeCell ref="E284:U284"/>
    <mergeCell ref="E286:U286"/>
    <mergeCell ref="E270:U270"/>
    <mergeCell ref="E271:U271"/>
    <mergeCell ref="A303:A304"/>
    <mergeCell ref="B303:B304"/>
    <mergeCell ref="D303:D304"/>
    <mergeCell ref="E303:E304"/>
    <mergeCell ref="F371:U371"/>
    <mergeCell ref="A370:A371"/>
    <mergeCell ref="B370:B371"/>
    <mergeCell ref="D370:D371"/>
    <mergeCell ref="E370:E371"/>
    <mergeCell ref="E367:U367"/>
    <mergeCell ref="E368:U368"/>
    <mergeCell ref="E369:U369"/>
    <mergeCell ref="E339:U339"/>
    <mergeCell ref="E340:U340"/>
    <mergeCell ref="E341:U341"/>
    <mergeCell ref="E342:U342"/>
    <mergeCell ref="E343:U343"/>
    <mergeCell ref="E344:U344"/>
    <mergeCell ref="E331:U331"/>
    <mergeCell ref="E332:U332"/>
    <mergeCell ref="E333:U333"/>
    <mergeCell ref="E335:U335"/>
    <mergeCell ref="E336:U336"/>
    <mergeCell ref="E338:U338"/>
    <mergeCell ref="E326:U326"/>
    <mergeCell ref="E327:U327"/>
    <mergeCell ref="E328:U328"/>
    <mergeCell ref="E329:U329"/>
    <mergeCell ref="E330:U330"/>
    <mergeCell ref="E315:U315"/>
    <mergeCell ref="E317:U317"/>
    <mergeCell ref="E318:U318"/>
    <mergeCell ref="A390:A391"/>
    <mergeCell ref="B390:B391"/>
    <mergeCell ref="D390:D391"/>
    <mergeCell ref="E390:E391"/>
    <mergeCell ref="F411:U411"/>
    <mergeCell ref="A410:A411"/>
    <mergeCell ref="B410:B411"/>
    <mergeCell ref="D410:D411"/>
    <mergeCell ref="E410:E411"/>
    <mergeCell ref="E403:U403"/>
    <mergeCell ref="E404:U404"/>
    <mergeCell ref="E406:U406"/>
    <mergeCell ref="E407:U407"/>
    <mergeCell ref="E408:U408"/>
    <mergeCell ref="E409:U409"/>
    <mergeCell ref="E395:U395"/>
    <mergeCell ref="E396:U396"/>
    <mergeCell ref="E398:U398"/>
    <mergeCell ref="E399:U399"/>
    <mergeCell ref="E401:U401"/>
    <mergeCell ref="E402:U402"/>
    <mergeCell ref="A704:A705"/>
    <mergeCell ref="B704:B705"/>
    <mergeCell ref="D704:D705"/>
    <mergeCell ref="E704:E705"/>
    <mergeCell ref="A433:A434"/>
    <mergeCell ref="B433:B434"/>
    <mergeCell ref="D433:D434"/>
    <mergeCell ref="E433:E434"/>
    <mergeCell ref="F442:U442"/>
    <mergeCell ref="A441:A442"/>
    <mergeCell ref="B441:B442"/>
    <mergeCell ref="D441:D442"/>
    <mergeCell ref="E441:E442"/>
    <mergeCell ref="E685:U685"/>
    <mergeCell ref="E686:U686"/>
    <mergeCell ref="E687:U687"/>
    <mergeCell ref="E689:U689"/>
    <mergeCell ref="E670:U670"/>
    <mergeCell ref="E672:U672"/>
    <mergeCell ref="E674:U674"/>
    <mergeCell ref="E676:U676"/>
    <mergeCell ref="E678:U678"/>
    <mergeCell ref="E680:U680"/>
    <mergeCell ref="E661:U661"/>
    <mergeCell ref="E649:U649"/>
    <mergeCell ref="E650:U650"/>
    <mergeCell ref="E651:U651"/>
    <mergeCell ref="E652:U652"/>
    <mergeCell ref="E653:U653"/>
    <mergeCell ref="E504:U504"/>
    <mergeCell ref="E505:U505"/>
    <mergeCell ref="E506:U506"/>
    <mergeCell ref="F1243:U1243"/>
    <mergeCell ref="B1242:B1243"/>
    <mergeCell ref="D1242:D1243"/>
    <mergeCell ref="E1242:E1243"/>
    <mergeCell ref="E1245:U1245"/>
    <mergeCell ref="E1247:U1247"/>
    <mergeCell ref="E1248:U1248"/>
    <mergeCell ref="E1249:U1249"/>
    <mergeCell ref="E1238:U1238"/>
    <mergeCell ref="E1239:U1239"/>
    <mergeCell ref="E1240:U1240"/>
    <mergeCell ref="E1241:U1241"/>
    <mergeCell ref="E1244:U1244"/>
    <mergeCell ref="B1237:U1237"/>
    <mergeCell ref="B1246:U1246"/>
    <mergeCell ref="B1250:U1250"/>
    <mergeCell ref="A1242:A1243"/>
    <mergeCell ref="B4:U4"/>
    <mergeCell ref="B1226:U1226"/>
    <mergeCell ref="B1236:U1236"/>
    <mergeCell ref="E1204:U1204"/>
    <mergeCell ref="E1206:U1206"/>
    <mergeCell ref="E1208:U1208"/>
    <mergeCell ref="E1209:U1209"/>
    <mergeCell ref="B1103:U1103"/>
    <mergeCell ref="B1132:U1132"/>
    <mergeCell ref="B1153:U1153"/>
    <mergeCell ref="B1160:U1160"/>
    <mergeCell ref="B1177:U1177"/>
    <mergeCell ref="B1195:U1195"/>
    <mergeCell ref="E1108:U1108"/>
    <mergeCell ref="E1110:U1110"/>
    <mergeCell ref="E1112:U1112"/>
    <mergeCell ref="E1113:U1113"/>
    <mergeCell ref="B961:U961"/>
    <mergeCell ref="B988:U988"/>
    <mergeCell ref="B1013:U1013"/>
    <mergeCell ref="B1031:U1031"/>
    <mergeCell ref="B1047:U1047"/>
    <mergeCell ref="B1078:U1078"/>
    <mergeCell ref="B1201:U1201"/>
    <mergeCell ref="B1203:U1203"/>
    <mergeCell ref="B1205:U1205"/>
    <mergeCell ref="B1207:U1207"/>
    <mergeCell ref="B873:U873"/>
    <mergeCell ref="B898:U898"/>
    <mergeCell ref="B927:B928"/>
    <mergeCell ref="D927:D928"/>
    <mergeCell ref="E927:E928"/>
    <mergeCell ref="B869:B870"/>
    <mergeCell ref="D869:D870"/>
    <mergeCell ref="E869:E870"/>
    <mergeCell ref="F924:U924"/>
    <mergeCell ref="E926:U926"/>
    <mergeCell ref="E910:U910"/>
    <mergeCell ref="E911:U911"/>
    <mergeCell ref="E912:U912"/>
    <mergeCell ref="E913:U913"/>
    <mergeCell ref="E915:U915"/>
    <mergeCell ref="E916:U916"/>
    <mergeCell ref="E890:U890"/>
    <mergeCell ref="E875:U875"/>
    <mergeCell ref="E876:U876"/>
    <mergeCell ref="E878:U878"/>
    <mergeCell ref="E906:U906"/>
    <mergeCell ref="E908:U908"/>
    <mergeCell ref="E909:U909"/>
    <mergeCell ref="E892:U892"/>
    <mergeCell ref="E894:U894"/>
    <mergeCell ref="E896:U896"/>
    <mergeCell ref="E897:U897"/>
    <mergeCell ref="E899:U899"/>
    <mergeCell ref="E900:U900"/>
    <mergeCell ref="E884:U884"/>
    <mergeCell ref="E885:U885"/>
    <mergeCell ref="E886:U886"/>
    <mergeCell ref="E888:U888"/>
    <mergeCell ref="E889:U889"/>
    <mergeCell ref="E881:U881"/>
    <mergeCell ref="E883:U883"/>
    <mergeCell ref="E872:U872"/>
    <mergeCell ref="E863:U863"/>
    <mergeCell ref="E104:U104"/>
    <mergeCell ref="A956:A957"/>
    <mergeCell ref="B956:B957"/>
    <mergeCell ref="D956:D957"/>
    <mergeCell ref="E956:E957"/>
    <mergeCell ref="A927:A928"/>
    <mergeCell ref="F953:U953"/>
    <mergeCell ref="A952:A953"/>
    <mergeCell ref="B952:B953"/>
    <mergeCell ref="D952:D953"/>
    <mergeCell ref="E952:E953"/>
    <mergeCell ref="A869:A870"/>
    <mergeCell ref="A923:A924"/>
    <mergeCell ref="B923:B924"/>
    <mergeCell ref="D923:D924"/>
    <mergeCell ref="E923:E924"/>
    <mergeCell ref="E925:U925"/>
    <mergeCell ref="B935:U935"/>
    <mergeCell ref="E865:U865"/>
    <mergeCell ref="E867:U867"/>
    <mergeCell ref="E868:U868"/>
    <mergeCell ref="E871:U871"/>
    <mergeCell ref="F870:U870"/>
    <mergeCell ref="E862:U862"/>
    <mergeCell ref="A711:A712"/>
    <mergeCell ref="B711:B712"/>
    <mergeCell ref="D711:D712"/>
    <mergeCell ref="E711:E712"/>
    <mergeCell ref="E901:U901"/>
    <mergeCell ref="E902:U902"/>
    <mergeCell ref="E904:U904"/>
    <mergeCell ref="E874:U874"/>
    <mergeCell ref="E947:U947"/>
    <mergeCell ref="E949:U949"/>
    <mergeCell ref="E937:U937"/>
    <mergeCell ref="E939:U939"/>
    <mergeCell ref="E941:U941"/>
    <mergeCell ref="E943:U943"/>
    <mergeCell ref="E944:U944"/>
    <mergeCell ref="E945:U945"/>
    <mergeCell ref="E929:U929"/>
    <mergeCell ref="E930:U930"/>
    <mergeCell ref="E932:U932"/>
    <mergeCell ref="E933:U933"/>
    <mergeCell ref="E934:U934"/>
    <mergeCell ref="E936:U936"/>
    <mergeCell ref="E918:U918"/>
    <mergeCell ref="E919:U919"/>
    <mergeCell ref="E921:U921"/>
    <mergeCell ref="E922:U922"/>
    <mergeCell ref="F928:U928"/>
    <mergeCell ref="E879:U879"/>
    <mergeCell ref="E1230:U1230"/>
    <mergeCell ref="E1231:U1231"/>
    <mergeCell ref="E1233:U1233"/>
    <mergeCell ref="E1234:U1234"/>
    <mergeCell ref="E1220:U1220"/>
    <mergeCell ref="E1222:U1222"/>
    <mergeCell ref="E1224:U1224"/>
    <mergeCell ref="E1225:U1225"/>
    <mergeCell ref="E1227:U1227"/>
    <mergeCell ref="E1228:U1228"/>
    <mergeCell ref="E1210:U1210"/>
    <mergeCell ref="E1212:U1212"/>
    <mergeCell ref="E1214:U1214"/>
    <mergeCell ref="E1215:U1215"/>
    <mergeCell ref="E1216:U1216"/>
    <mergeCell ref="E1218:U1218"/>
    <mergeCell ref="E1194:U1194"/>
    <mergeCell ref="E1196:U1196"/>
    <mergeCell ref="E1197:U1197"/>
    <mergeCell ref="E1199:U1199"/>
    <mergeCell ref="E1200:U1200"/>
    <mergeCell ref="E1202:U1202"/>
    <mergeCell ref="E1186:U1186"/>
    <mergeCell ref="E1187:U1187"/>
    <mergeCell ref="E1189:U1189"/>
    <mergeCell ref="E1190:U1190"/>
    <mergeCell ref="E1192:U1192"/>
    <mergeCell ref="E1193:U1193"/>
    <mergeCell ref="E1178:U1178"/>
    <mergeCell ref="E1179:U1179"/>
    <mergeCell ref="E1181:U1181"/>
    <mergeCell ref="E1170:U1170"/>
    <mergeCell ref="E1172:U1172"/>
    <mergeCell ref="E1173:U1173"/>
    <mergeCell ref="E1174:U1174"/>
    <mergeCell ref="E1176:U1176"/>
    <mergeCell ref="E1162:U1162"/>
    <mergeCell ref="E1164:U1164"/>
    <mergeCell ref="E1165:U1165"/>
    <mergeCell ref="E1166:U1166"/>
    <mergeCell ref="E1167:U1167"/>
    <mergeCell ref="E1183:U1183"/>
    <mergeCell ref="E1184:U1184"/>
    <mergeCell ref="E1185:U1185"/>
    <mergeCell ref="E1169:U1169"/>
    <mergeCell ref="E1154:U1154"/>
    <mergeCell ref="E1155:U1155"/>
    <mergeCell ref="E1156:U1156"/>
    <mergeCell ref="E1158:U1158"/>
    <mergeCell ref="E1159:U1159"/>
    <mergeCell ref="E1161:U1161"/>
    <mergeCell ref="E1145:U1145"/>
    <mergeCell ref="E1147:U1147"/>
    <mergeCell ref="E1148:U1148"/>
    <mergeCell ref="E1149:U1149"/>
    <mergeCell ref="E1151:U1151"/>
    <mergeCell ref="E1152:U1152"/>
    <mergeCell ref="E1137:U1137"/>
    <mergeCell ref="E1138:U1138"/>
    <mergeCell ref="E1139:U1139"/>
    <mergeCell ref="E1168:U1168"/>
    <mergeCell ref="E1141:U1141"/>
    <mergeCell ref="E1142:U1142"/>
    <mergeCell ref="E1143:U1143"/>
    <mergeCell ref="E1128:U1128"/>
    <mergeCell ref="E1130:U1130"/>
    <mergeCell ref="E1131:U1131"/>
    <mergeCell ref="E1133:U1133"/>
    <mergeCell ref="E1134:U1134"/>
    <mergeCell ref="E1135:U1135"/>
    <mergeCell ref="E1121:U1121"/>
    <mergeCell ref="E1122:U1122"/>
    <mergeCell ref="E1123:U1123"/>
    <mergeCell ref="E1124:U1124"/>
    <mergeCell ref="E1125:U1125"/>
    <mergeCell ref="E1127:U1127"/>
    <mergeCell ref="E1114:U1114"/>
    <mergeCell ref="E1115:U1115"/>
    <mergeCell ref="E1116:U1116"/>
    <mergeCell ref="E1117:U1117"/>
    <mergeCell ref="E1118:U1118"/>
    <mergeCell ref="E1119:U1119"/>
    <mergeCell ref="E1062:U1062"/>
    <mergeCell ref="E1100:U1100"/>
    <mergeCell ref="E1101:U1101"/>
    <mergeCell ref="E1102:U1102"/>
    <mergeCell ref="E1104:U1104"/>
    <mergeCell ref="E1105:U1105"/>
    <mergeCell ref="E1106:U1106"/>
    <mergeCell ref="E1093:U1093"/>
    <mergeCell ref="E1094:U1094"/>
    <mergeCell ref="E1095:U1095"/>
    <mergeCell ref="E1096:U1096"/>
    <mergeCell ref="E1098:U1098"/>
    <mergeCell ref="E1099:U1099"/>
    <mergeCell ref="E1085:U1085"/>
    <mergeCell ref="E1086:U1086"/>
    <mergeCell ref="E1087:U1087"/>
    <mergeCell ref="E1089:U1089"/>
    <mergeCell ref="E1090:U1090"/>
    <mergeCell ref="E1092:U1092"/>
    <mergeCell ref="E1024:U1024"/>
    <mergeCell ref="E1006:U1006"/>
    <mergeCell ref="E1008:U1008"/>
    <mergeCell ref="E1010:U1010"/>
    <mergeCell ref="E975:U975"/>
    <mergeCell ref="E977:U977"/>
    <mergeCell ref="E978:U978"/>
    <mergeCell ref="E979:U979"/>
    <mergeCell ref="E980:U980"/>
    <mergeCell ref="E1076:U1076"/>
    <mergeCell ref="E1077:U1077"/>
    <mergeCell ref="E1079:U1079"/>
    <mergeCell ref="E1081:U1081"/>
    <mergeCell ref="E1082:U1082"/>
    <mergeCell ref="E1084:U1084"/>
    <mergeCell ref="E1068:U1068"/>
    <mergeCell ref="E1069:U1069"/>
    <mergeCell ref="E1070:U1070"/>
    <mergeCell ref="E1072:U1072"/>
    <mergeCell ref="E1074:U1074"/>
    <mergeCell ref="E1075:U1075"/>
    <mergeCell ref="E1064:U1064"/>
    <mergeCell ref="E1065:U1065"/>
    <mergeCell ref="E1050:U1050"/>
    <mergeCell ref="E1052:U1052"/>
    <mergeCell ref="E1053:U1053"/>
    <mergeCell ref="E1055:U1055"/>
    <mergeCell ref="E1056:U1056"/>
    <mergeCell ref="E1057:U1057"/>
    <mergeCell ref="E1067:U1067"/>
    <mergeCell ref="E1059:U1059"/>
    <mergeCell ref="E1060:U1060"/>
    <mergeCell ref="E1015:U1015"/>
    <mergeCell ref="E1042:U1042"/>
    <mergeCell ref="E1044:U1044"/>
    <mergeCell ref="E1045:U1045"/>
    <mergeCell ref="E1046:U1046"/>
    <mergeCell ref="E1048:U1048"/>
    <mergeCell ref="E1049:U1049"/>
    <mergeCell ref="E1033:U1033"/>
    <mergeCell ref="E1035:U1035"/>
    <mergeCell ref="E1037:U1037"/>
    <mergeCell ref="E968:U968"/>
    <mergeCell ref="E969:U969"/>
    <mergeCell ref="E1012:U1012"/>
    <mergeCell ref="E1014:U1014"/>
    <mergeCell ref="E987:U987"/>
    <mergeCell ref="E989:U989"/>
    <mergeCell ref="E990:U990"/>
    <mergeCell ref="E973:U973"/>
    <mergeCell ref="E1038:U1038"/>
    <mergeCell ref="E1039:U1039"/>
    <mergeCell ref="E1040:U1040"/>
    <mergeCell ref="E1026:U1026"/>
    <mergeCell ref="E1027:U1027"/>
    <mergeCell ref="E1028:U1028"/>
    <mergeCell ref="E1029:U1029"/>
    <mergeCell ref="E1030:U1030"/>
    <mergeCell ref="E1032:U1032"/>
    <mergeCell ref="E1017:U1017"/>
    <mergeCell ref="E1018:U1018"/>
    <mergeCell ref="E1020:U1020"/>
    <mergeCell ref="E1021:U1021"/>
    <mergeCell ref="E1023:U1023"/>
    <mergeCell ref="E951:U951"/>
    <mergeCell ref="E954:U954"/>
    <mergeCell ref="E955:U955"/>
    <mergeCell ref="E958:U958"/>
    <mergeCell ref="F957:U957"/>
    <mergeCell ref="E999:U999"/>
    <mergeCell ref="E1000:U1000"/>
    <mergeCell ref="E1001:U1001"/>
    <mergeCell ref="E1002:U1002"/>
    <mergeCell ref="E1003:U1003"/>
    <mergeCell ref="E1004:U1004"/>
    <mergeCell ref="E991:U991"/>
    <mergeCell ref="E992:U992"/>
    <mergeCell ref="E993:U993"/>
    <mergeCell ref="E995:U995"/>
    <mergeCell ref="E996:U996"/>
    <mergeCell ref="E998:U998"/>
    <mergeCell ref="E982:U982"/>
    <mergeCell ref="E984:U984"/>
    <mergeCell ref="E971:U971"/>
    <mergeCell ref="E972:U972"/>
    <mergeCell ref="E986:U986"/>
    <mergeCell ref="E959:U959"/>
    <mergeCell ref="E960:U960"/>
    <mergeCell ref="E962:U962"/>
    <mergeCell ref="E963:U963"/>
    <mergeCell ref="E965:U965"/>
    <mergeCell ref="E966:U966"/>
    <mergeCell ref="E860:U860"/>
    <mergeCell ref="E861:U861"/>
    <mergeCell ref="E830:U830"/>
    <mergeCell ref="E831:U831"/>
    <mergeCell ref="E833:U833"/>
    <mergeCell ref="E749:U749"/>
    <mergeCell ref="E750:U750"/>
    <mergeCell ref="E751:U751"/>
    <mergeCell ref="F712:U712"/>
    <mergeCell ref="E710:U710"/>
    <mergeCell ref="B694:U694"/>
    <mergeCell ref="E662:U662"/>
    <mergeCell ref="E664:U664"/>
    <mergeCell ref="E666:U666"/>
    <mergeCell ref="E667:U667"/>
    <mergeCell ref="E669:U669"/>
    <mergeCell ref="B675:U675"/>
    <mergeCell ref="E707:U707"/>
    <mergeCell ref="E708:U708"/>
    <mergeCell ref="E709:U709"/>
    <mergeCell ref="E698:U698"/>
    <mergeCell ref="E699:U699"/>
    <mergeCell ref="E701:U701"/>
    <mergeCell ref="E702:U702"/>
    <mergeCell ref="E703:U703"/>
    <mergeCell ref="E706:U706"/>
    <mergeCell ref="F705:U705"/>
    <mergeCell ref="E690:U690"/>
    <mergeCell ref="E692:U692"/>
    <mergeCell ref="E693:U693"/>
    <mergeCell ref="E695:U695"/>
    <mergeCell ref="E696:U696"/>
    <mergeCell ref="E697:U697"/>
    <mergeCell ref="E429:U429"/>
    <mergeCell ref="E430:U430"/>
    <mergeCell ref="E431:U431"/>
    <mergeCell ref="E432:U432"/>
    <mergeCell ref="E435:U435"/>
    <mergeCell ref="F434:U434"/>
    <mergeCell ref="E447:U447"/>
    <mergeCell ref="E449:U449"/>
    <mergeCell ref="E450:U450"/>
    <mergeCell ref="E452:U452"/>
    <mergeCell ref="E453:U453"/>
    <mergeCell ref="E437:U437"/>
    <mergeCell ref="E438:U438"/>
    <mergeCell ref="E439:U439"/>
    <mergeCell ref="E440:U440"/>
    <mergeCell ref="E443:U443"/>
    <mergeCell ref="E444:U444"/>
    <mergeCell ref="E682:U682"/>
    <mergeCell ref="E683:U683"/>
    <mergeCell ref="E655:U655"/>
    <mergeCell ref="E641:U641"/>
    <mergeCell ref="E642:U642"/>
    <mergeCell ref="E643:U643"/>
    <mergeCell ref="E644:U644"/>
    <mergeCell ref="E646:U646"/>
    <mergeCell ref="E647:U647"/>
    <mergeCell ref="E632:U632"/>
    <mergeCell ref="E633:U633"/>
    <mergeCell ref="E635:U635"/>
    <mergeCell ref="E636:U636"/>
    <mergeCell ref="E637:U637"/>
  </mergeCells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51"/>
  <sheetViews>
    <sheetView topLeftCell="A19" workbookViewId="0">
      <selection activeCell="W26" sqref="W26"/>
    </sheetView>
  </sheetViews>
  <sheetFormatPr defaultRowHeight="15"/>
  <cols>
    <col min="3" max="3" width="9.140625" style="53"/>
    <col min="9" max="9" width="11.42578125" customWidth="1"/>
    <col min="22" max="22" width="13.5703125" customWidth="1"/>
  </cols>
  <sheetData>
    <row r="1" spans="1:23">
      <c r="A1" s="134" t="s">
        <v>294</v>
      </c>
      <c r="B1" s="139"/>
      <c r="C1" s="177"/>
      <c r="D1" s="148"/>
      <c r="E1" s="139"/>
      <c r="F1" s="143"/>
      <c r="G1" s="143"/>
      <c r="H1" s="149"/>
      <c r="I1" s="153"/>
      <c r="J1" s="154"/>
      <c r="K1" s="134"/>
      <c r="L1" s="155"/>
      <c r="M1" s="156"/>
      <c r="N1" s="143"/>
      <c r="O1" s="139"/>
      <c r="P1" s="139"/>
      <c r="Q1" s="157"/>
      <c r="R1" s="134"/>
      <c r="S1" s="158"/>
      <c r="T1" s="159"/>
      <c r="U1" s="160"/>
    </row>
    <row r="2" spans="1:23" ht="24">
      <c r="A2" s="136" t="s">
        <v>150</v>
      </c>
      <c r="B2" s="137" t="s">
        <v>151</v>
      </c>
      <c r="C2" s="176"/>
      <c r="D2" s="142" t="s">
        <v>152</v>
      </c>
      <c r="E2" s="140" t="s">
        <v>153</v>
      </c>
      <c r="F2" s="138" t="s">
        <v>154</v>
      </c>
      <c r="G2" s="138" t="s">
        <v>155</v>
      </c>
      <c r="H2" s="138" t="s">
        <v>156</v>
      </c>
      <c r="I2" s="141" t="s">
        <v>157</v>
      </c>
      <c r="J2" s="144" t="s">
        <v>158</v>
      </c>
      <c r="K2" s="135" t="s">
        <v>159</v>
      </c>
      <c r="L2" s="144" t="s">
        <v>160</v>
      </c>
      <c r="M2" s="150" t="s">
        <v>161</v>
      </c>
      <c r="N2" s="138" t="s">
        <v>162</v>
      </c>
      <c r="O2" s="135" t="s">
        <v>163</v>
      </c>
      <c r="P2" s="138" t="s">
        <v>164</v>
      </c>
      <c r="Q2" s="145" t="s">
        <v>165</v>
      </c>
      <c r="R2" s="138" t="s">
        <v>166</v>
      </c>
      <c r="S2" s="138" t="s">
        <v>167</v>
      </c>
      <c r="T2" s="145" t="s">
        <v>168</v>
      </c>
      <c r="U2" s="145" t="s">
        <v>169</v>
      </c>
      <c r="V2" s="55"/>
      <c r="W2" s="53"/>
    </row>
    <row r="3" spans="1:23" ht="78" customHeight="1">
      <c r="A3" s="136"/>
      <c r="B3" s="137"/>
      <c r="C3" s="176"/>
      <c r="D3" s="142"/>
      <c r="E3" s="135"/>
      <c r="F3" s="138"/>
      <c r="G3" s="138"/>
      <c r="H3" s="138"/>
      <c r="I3" s="141"/>
      <c r="J3" s="146"/>
      <c r="K3" s="135"/>
      <c r="L3" s="152"/>
      <c r="M3" s="150"/>
      <c r="N3" s="138"/>
      <c r="O3" s="135"/>
      <c r="P3" s="135"/>
      <c r="Q3" s="151"/>
      <c r="R3" s="135"/>
      <c r="S3" s="135"/>
      <c r="T3" s="147"/>
      <c r="U3" s="133"/>
    </row>
    <row r="4" spans="1:23" ht="15.75">
      <c r="A4" s="276">
        <v>43839.333333333336</v>
      </c>
      <c r="B4" s="332" t="s">
        <v>357</v>
      </c>
      <c r="C4" s="333"/>
      <c r="D4" s="334"/>
      <c r="E4" s="334"/>
      <c r="F4" s="334"/>
      <c r="G4" s="334"/>
      <c r="H4" s="334"/>
      <c r="I4" s="334"/>
      <c r="J4" s="334"/>
      <c r="K4" s="334"/>
      <c r="L4" s="334"/>
      <c r="M4" s="334"/>
      <c r="N4" s="334"/>
      <c r="O4" s="334"/>
      <c r="P4" s="334"/>
      <c r="Q4" s="334"/>
      <c r="R4" s="334"/>
      <c r="S4" s="334"/>
      <c r="T4" s="334"/>
      <c r="U4" s="335"/>
      <c r="V4" s="247" t="e">
        <f>VLOOKUP(E4,Лист4!A$3:G$499,7)</f>
        <v>#N/A</v>
      </c>
      <c r="W4" s="247" t="e">
        <f>IF(ISNA(V4),VLOOKUP(E4,категория!A$182:E$197,3,),(2.09+R4*8.3333/категория!D$182))</f>
        <v>#N/A</v>
      </c>
    </row>
    <row r="5" spans="1:23" ht="15.75">
      <c r="A5" s="265">
        <v>43839.333333333336</v>
      </c>
      <c r="B5" s="265">
        <v>43839.375</v>
      </c>
      <c r="C5" s="265">
        <f>B5-A5</f>
        <v>4.1666666664241347E-2</v>
      </c>
      <c r="D5" s="275">
        <v>4.1666666666666664E-2</v>
      </c>
      <c r="E5" s="329" t="s">
        <v>263</v>
      </c>
      <c r="F5" s="330"/>
      <c r="G5" s="330"/>
      <c r="H5" s="330"/>
      <c r="I5" s="330"/>
      <c r="J5" s="330"/>
      <c r="K5" s="330"/>
      <c r="L5" s="330"/>
      <c r="M5" s="330"/>
      <c r="N5" s="330"/>
      <c r="O5" s="330"/>
      <c r="P5" s="330"/>
      <c r="Q5" s="330"/>
      <c r="R5" s="330"/>
      <c r="S5" s="330"/>
      <c r="T5" s="330"/>
      <c r="U5" s="331"/>
      <c r="V5" s="247" t="e">
        <f>VLOOKUP(E5,Лист4!A$3:G$499,7)</f>
        <v>#N/A</v>
      </c>
      <c r="W5" s="247">
        <v>8.3330000000000002</v>
      </c>
    </row>
    <row r="6" spans="1:23" ht="15.75">
      <c r="A6" s="265">
        <v>43839.375</v>
      </c>
      <c r="B6" s="265">
        <v>43839.395833333336</v>
      </c>
      <c r="C6" s="265"/>
      <c r="D6" s="275">
        <v>3.125E-2</v>
      </c>
      <c r="E6" s="329" t="s">
        <v>32</v>
      </c>
      <c r="F6" s="330"/>
      <c r="G6" s="330"/>
      <c r="H6" s="330"/>
      <c r="I6" s="330"/>
      <c r="J6" s="330"/>
      <c r="K6" s="330"/>
      <c r="L6" s="330"/>
      <c r="M6" s="330"/>
      <c r="N6" s="330"/>
      <c r="O6" s="330"/>
      <c r="P6" s="330"/>
      <c r="Q6" s="330"/>
      <c r="R6" s="330"/>
      <c r="S6" s="330"/>
      <c r="T6" s="330"/>
      <c r="U6" s="331"/>
      <c r="V6" s="247" t="e">
        <f>VLOOKUP(E6,Лист4!A$3:G$499,7)</f>
        <v>#N/A</v>
      </c>
      <c r="W6" s="247">
        <f>IF(ISNA(V6),VLOOKUP(E6,категория!A$182:E$197,3,),(2.09+R6*8.3333/категория!D$182))</f>
        <v>6.26</v>
      </c>
    </row>
    <row r="7" spans="1:23" ht="15.75">
      <c r="A7" s="265">
        <v>43839.395833333336</v>
      </c>
      <c r="B7" s="265">
        <v>43839.416666666664</v>
      </c>
      <c r="C7" s="265"/>
      <c r="D7" s="275">
        <v>2.0833333333333332E-2</v>
      </c>
      <c r="E7" s="329" t="s">
        <v>8</v>
      </c>
      <c r="F7" s="330"/>
      <c r="G7" s="330"/>
      <c r="H7" s="330"/>
      <c r="I7" s="330"/>
      <c r="J7" s="330"/>
      <c r="K7" s="330"/>
      <c r="L7" s="330"/>
      <c r="M7" s="330"/>
      <c r="N7" s="330"/>
      <c r="O7" s="330"/>
      <c r="P7" s="330"/>
      <c r="Q7" s="330"/>
      <c r="R7" s="330"/>
      <c r="S7" s="330"/>
      <c r="T7" s="330"/>
      <c r="U7" s="331"/>
      <c r="V7" s="247" t="e">
        <f>VLOOKUP(E7,Лист4!A$3:G$499,7)</f>
        <v>#N/A</v>
      </c>
      <c r="W7" s="247">
        <f>IF(ISNA(V7),VLOOKUP(E7,категория!A$182:E$197,3,),(2.09+R7*8.3333/категория!D$182))</f>
        <v>4.17</v>
      </c>
    </row>
    <row r="8" spans="1:23" ht="15.75">
      <c r="A8" s="265">
        <v>43839.416666666664</v>
      </c>
      <c r="B8" s="265">
        <v>43839.4375</v>
      </c>
      <c r="C8" s="265"/>
      <c r="D8" s="275">
        <v>2.0833333333333332E-2</v>
      </c>
      <c r="E8" s="329" t="s">
        <v>23</v>
      </c>
      <c r="F8" s="330"/>
      <c r="G8" s="330"/>
      <c r="H8" s="330"/>
      <c r="I8" s="330"/>
      <c r="J8" s="330"/>
      <c r="K8" s="330"/>
      <c r="L8" s="330"/>
      <c r="M8" s="330"/>
      <c r="N8" s="330"/>
      <c r="O8" s="330"/>
      <c r="P8" s="330"/>
      <c r="Q8" s="330"/>
      <c r="R8" s="330"/>
      <c r="S8" s="330"/>
      <c r="T8" s="330"/>
      <c r="U8" s="331"/>
      <c r="V8" s="247" t="e">
        <f>VLOOKUP(E8,Лист4!A$3:G$499,7)</f>
        <v>#N/A</v>
      </c>
      <c r="W8" s="247">
        <f>IF(ISNA(V8),VLOOKUP(E8,категория!A$182:E$197,3,),(2.09+R8*8.3333/категория!D$182))</f>
        <v>2.78</v>
      </c>
    </row>
    <row r="9" spans="1:23" ht="84">
      <c r="A9" s="265">
        <v>43839.4375</v>
      </c>
      <c r="B9" s="265">
        <v>43839.791666666664</v>
      </c>
      <c r="C9" s="265"/>
      <c r="D9" s="275">
        <v>0.35416666666666669</v>
      </c>
      <c r="E9" s="266">
        <v>3537</v>
      </c>
      <c r="F9" s="267" t="s">
        <v>250</v>
      </c>
      <c r="G9" s="267" t="s">
        <v>296</v>
      </c>
      <c r="H9" s="268" t="s">
        <v>226</v>
      </c>
      <c r="I9" s="269">
        <v>43845</v>
      </c>
      <c r="J9" s="270"/>
      <c r="K9" s="266" t="s">
        <v>287</v>
      </c>
      <c r="L9" s="271"/>
      <c r="M9" s="272"/>
      <c r="N9" s="267" t="s">
        <v>285</v>
      </c>
      <c r="O9" s="266">
        <v>60</v>
      </c>
      <c r="P9" s="266" t="s">
        <v>297</v>
      </c>
      <c r="Q9" s="273" t="s">
        <v>229</v>
      </c>
      <c r="R9" s="274">
        <v>18000</v>
      </c>
      <c r="S9" s="274">
        <v>17651</v>
      </c>
      <c r="T9" s="270"/>
      <c r="U9" s="274" t="s">
        <v>79</v>
      </c>
      <c r="V9" s="247" t="str">
        <f>VLOOKUP(E9,Лист4!A$3:G$499,7)</f>
        <v>фаворит ч/б</v>
      </c>
      <c r="W9" s="247">
        <f>IF(ISNA(V9),VLOOKUP(E9,категория!A$182:E$197,3,),(2.09+R9*8.3333/категория!D$182))</f>
        <v>52.089799999999997</v>
      </c>
    </row>
    <row r="10" spans="1:23" ht="15.75">
      <c r="A10" s="265">
        <v>43839.791666666664</v>
      </c>
      <c r="B10" s="265">
        <v>43839.8125</v>
      </c>
      <c r="C10" s="265"/>
      <c r="D10" s="275">
        <v>2.0833333333333332E-2</v>
      </c>
      <c r="E10" s="329" t="s">
        <v>34</v>
      </c>
      <c r="F10" s="330"/>
      <c r="G10" s="330"/>
      <c r="H10" s="330"/>
      <c r="I10" s="330"/>
      <c r="J10" s="330"/>
      <c r="K10" s="330"/>
      <c r="L10" s="330"/>
      <c r="M10" s="330"/>
      <c r="N10" s="330"/>
      <c r="O10" s="330"/>
      <c r="P10" s="330"/>
      <c r="Q10" s="330"/>
      <c r="R10" s="330"/>
      <c r="S10" s="330"/>
      <c r="T10" s="330"/>
      <c r="U10" s="331"/>
      <c r="V10" s="247" t="e">
        <f>VLOOKUP(E10,Лист4!A$3:G$499,7)</f>
        <v>#N/A</v>
      </c>
      <c r="W10" s="247">
        <f>IF(ISNA(V10),VLOOKUP(E10,категория!A$182:E$197,3,),(2.09+R10*8.3333/категория!D$182))</f>
        <v>3.48</v>
      </c>
    </row>
    <row r="11" spans="1:23" ht="15.75">
      <c r="A11" s="265">
        <v>43839.8125</v>
      </c>
      <c r="B11" s="265">
        <v>43839.833333333336</v>
      </c>
      <c r="C11" s="265"/>
      <c r="D11" s="275">
        <v>2.0833333333333332E-2</v>
      </c>
      <c r="E11" s="329" t="s">
        <v>2</v>
      </c>
      <c r="F11" s="330"/>
      <c r="G11" s="330"/>
      <c r="H11" s="330"/>
      <c r="I11" s="330"/>
      <c r="J11" s="330"/>
      <c r="K11" s="330"/>
      <c r="L11" s="330"/>
      <c r="M11" s="330"/>
      <c r="N11" s="330"/>
      <c r="O11" s="330"/>
      <c r="P11" s="330"/>
      <c r="Q11" s="330"/>
      <c r="R11" s="330"/>
      <c r="S11" s="330"/>
      <c r="T11" s="330"/>
      <c r="U11" s="331"/>
      <c r="V11" s="247" t="e">
        <f>VLOOKUP(E11,Лист4!A$3:G$499,7)</f>
        <v>#N/A</v>
      </c>
      <c r="W11" s="247">
        <f>IF(ISNA(V11),VLOOKUP(E11,категория!A$182:E$197,3,),(2.09+R11*8.3333/категория!D$182))</f>
        <v>4.17</v>
      </c>
    </row>
    <row r="12" spans="1:23" ht="15.75">
      <c r="A12" s="276">
        <v>43839.833333333336</v>
      </c>
      <c r="B12" s="332" t="s">
        <v>358</v>
      </c>
      <c r="C12" s="333"/>
      <c r="D12" s="334"/>
      <c r="E12" s="334"/>
      <c r="F12" s="334"/>
      <c r="G12" s="334"/>
      <c r="H12" s="334"/>
      <c r="I12" s="334"/>
      <c r="J12" s="334"/>
      <c r="K12" s="334"/>
      <c r="L12" s="334"/>
      <c r="M12" s="334"/>
      <c r="N12" s="334"/>
      <c r="O12" s="334"/>
      <c r="P12" s="334"/>
      <c r="Q12" s="334"/>
      <c r="R12" s="334"/>
      <c r="S12" s="334"/>
      <c r="T12" s="334"/>
      <c r="U12" s="335"/>
      <c r="V12" s="247" t="e">
        <f>VLOOKUP(E12,Лист4!A$3:G$499,7)</f>
        <v>#N/A</v>
      </c>
      <c r="W12" s="187">
        <f>SUM(W5:W11)</f>
        <v>81.282800000000009</v>
      </c>
    </row>
    <row r="13" spans="1:23" ht="15.75">
      <c r="A13" s="276">
        <v>43840.333333333336</v>
      </c>
      <c r="B13" s="332" t="s">
        <v>359</v>
      </c>
      <c r="C13" s="333"/>
      <c r="D13" s="334"/>
      <c r="E13" s="334"/>
      <c r="F13" s="334"/>
      <c r="G13" s="334"/>
      <c r="H13" s="334"/>
      <c r="I13" s="334"/>
      <c r="J13" s="334"/>
      <c r="K13" s="334"/>
      <c r="L13" s="334"/>
      <c r="M13" s="334"/>
      <c r="N13" s="334"/>
      <c r="O13" s="334"/>
      <c r="P13" s="334"/>
      <c r="Q13" s="334"/>
      <c r="R13" s="334"/>
      <c r="S13" s="334"/>
      <c r="T13" s="334"/>
      <c r="U13" s="335"/>
      <c r="V13" s="247" t="e">
        <f>VLOOKUP(E13,Лист4!A$3:G$499,7)</f>
        <v>#N/A</v>
      </c>
      <c r="W13" s="247" t="e">
        <f>IF(ISNA(V13),VLOOKUP(E13,категория!A$182:E$197,3,),(2.09+R13*8.3333/категория!D$182))</f>
        <v>#N/A</v>
      </c>
    </row>
    <row r="14" spans="1:23" ht="15.75">
      <c r="A14" s="276">
        <v>43840.833333333336</v>
      </c>
      <c r="B14" s="332" t="s">
        <v>360</v>
      </c>
      <c r="C14" s="333"/>
      <c r="D14" s="334"/>
      <c r="E14" s="334"/>
      <c r="F14" s="334"/>
      <c r="G14" s="334"/>
      <c r="H14" s="334"/>
      <c r="I14" s="334"/>
      <c r="J14" s="334"/>
      <c r="K14" s="334"/>
      <c r="L14" s="334"/>
      <c r="M14" s="334"/>
      <c r="N14" s="334"/>
      <c r="O14" s="334"/>
      <c r="P14" s="334"/>
      <c r="Q14" s="334"/>
      <c r="R14" s="334"/>
      <c r="S14" s="334"/>
      <c r="T14" s="334"/>
      <c r="U14" s="335"/>
      <c r="V14" s="247" t="e">
        <f>VLOOKUP(E14,Лист4!A$3:G$499,7)</f>
        <v>#N/A</v>
      </c>
      <c r="W14" s="247" t="e">
        <f>IF(ISNA(V14),VLOOKUP(E14,категория!A$182:E$197,3,),(2.09+R14*8.3333/категория!D$182))</f>
        <v>#N/A</v>
      </c>
    </row>
    <row r="15" spans="1:23" ht="15.75">
      <c r="A15" s="276">
        <v>43841.333333333336</v>
      </c>
      <c r="B15" s="332" t="s">
        <v>361</v>
      </c>
      <c r="C15" s="333"/>
      <c r="D15" s="334"/>
      <c r="E15" s="334"/>
      <c r="F15" s="334"/>
      <c r="G15" s="334"/>
      <c r="H15" s="334"/>
      <c r="I15" s="334"/>
      <c r="J15" s="334"/>
      <c r="K15" s="334"/>
      <c r="L15" s="334"/>
      <c r="M15" s="334"/>
      <c r="N15" s="334"/>
      <c r="O15" s="334"/>
      <c r="P15" s="334"/>
      <c r="Q15" s="334"/>
      <c r="R15" s="334"/>
      <c r="S15" s="334"/>
      <c r="T15" s="334"/>
      <c r="U15" s="335"/>
      <c r="V15" s="247" t="e">
        <f>VLOOKUP(E15,Лист4!A$3:G$499,7)</f>
        <v>#N/A</v>
      </c>
      <c r="W15" s="247" t="e">
        <f>IF(ISNA(V15),VLOOKUP(E15,категория!A$182:E$197,3,),(2.09+R15*8.3333/категория!D$182))</f>
        <v>#N/A</v>
      </c>
    </row>
    <row r="16" spans="1:23" ht="15.75">
      <c r="A16" s="276">
        <v>43841.833333333336</v>
      </c>
      <c r="B16" s="332" t="s">
        <v>362</v>
      </c>
      <c r="C16" s="333"/>
      <c r="D16" s="334"/>
      <c r="E16" s="334"/>
      <c r="F16" s="334"/>
      <c r="G16" s="334"/>
      <c r="H16" s="334"/>
      <c r="I16" s="334"/>
      <c r="J16" s="334"/>
      <c r="K16" s="334"/>
      <c r="L16" s="334"/>
      <c r="M16" s="334"/>
      <c r="N16" s="334"/>
      <c r="O16" s="334"/>
      <c r="P16" s="334"/>
      <c r="Q16" s="334"/>
      <c r="R16" s="334"/>
      <c r="S16" s="334"/>
      <c r="T16" s="334"/>
      <c r="U16" s="335"/>
      <c r="V16" s="247" t="e">
        <f>VLOOKUP(E16,Лист4!A$3:G$499,7)</f>
        <v>#N/A</v>
      </c>
      <c r="W16" s="247" t="e">
        <f>IF(ISNA(V16),VLOOKUP(E16,категория!A$182:E$197,3,),(2.09+R16*8.3333/категория!D$182))</f>
        <v>#N/A</v>
      </c>
    </row>
    <row r="17" spans="1:23" ht="15.75">
      <c r="A17" s="276">
        <v>43842.333333333336</v>
      </c>
      <c r="B17" s="332" t="s">
        <v>363</v>
      </c>
      <c r="C17" s="333"/>
      <c r="D17" s="334"/>
      <c r="E17" s="334"/>
      <c r="F17" s="334"/>
      <c r="G17" s="334"/>
      <c r="H17" s="334"/>
      <c r="I17" s="334"/>
      <c r="J17" s="334"/>
      <c r="K17" s="334"/>
      <c r="L17" s="334"/>
      <c r="M17" s="334"/>
      <c r="N17" s="334"/>
      <c r="O17" s="334"/>
      <c r="P17" s="334"/>
      <c r="Q17" s="334"/>
      <c r="R17" s="334"/>
      <c r="S17" s="334"/>
      <c r="T17" s="334"/>
      <c r="U17" s="335"/>
      <c r="V17" s="247" t="e">
        <f>VLOOKUP(E17,Лист4!A$3:G$499,7)</f>
        <v>#N/A</v>
      </c>
      <c r="W17" s="247" t="e">
        <f>IF(ISNA(V17),VLOOKUP(E17,категория!A$182:E$197,3,),(2.09+R17*8.3333/категория!D$182))</f>
        <v>#N/A</v>
      </c>
    </row>
    <row r="18" spans="1:23" ht="15.75">
      <c r="A18" s="276">
        <v>43842.833333333336</v>
      </c>
      <c r="B18" s="332" t="s">
        <v>364</v>
      </c>
      <c r="C18" s="333"/>
      <c r="D18" s="334"/>
      <c r="E18" s="334"/>
      <c r="F18" s="334"/>
      <c r="G18" s="334"/>
      <c r="H18" s="334"/>
      <c r="I18" s="334"/>
      <c r="J18" s="334"/>
      <c r="K18" s="334"/>
      <c r="L18" s="334"/>
      <c r="M18" s="334"/>
      <c r="N18" s="334"/>
      <c r="O18" s="334"/>
      <c r="P18" s="334"/>
      <c r="Q18" s="334"/>
      <c r="R18" s="334"/>
      <c r="S18" s="334"/>
      <c r="T18" s="334"/>
      <c r="U18" s="335"/>
      <c r="V18" s="247" t="e">
        <f>VLOOKUP(E18,Лист4!A$3:G$499,7)</f>
        <v>#N/A</v>
      </c>
      <c r="W18" s="247" t="e">
        <f>IF(ISNA(V18),VLOOKUP(E18,категория!A$182:E$197,3,),(2.09+R18*8.3333/категория!D$182))</f>
        <v>#N/A</v>
      </c>
    </row>
    <row r="19" spans="1:23" ht="15.75">
      <c r="A19" s="276">
        <v>43843.333333333336</v>
      </c>
      <c r="B19" s="332" t="s">
        <v>365</v>
      </c>
      <c r="C19" s="333"/>
      <c r="D19" s="334"/>
      <c r="E19" s="334"/>
      <c r="F19" s="334"/>
      <c r="G19" s="334"/>
      <c r="H19" s="334"/>
      <c r="I19" s="334"/>
      <c r="J19" s="334"/>
      <c r="K19" s="334"/>
      <c r="L19" s="334"/>
      <c r="M19" s="334"/>
      <c r="N19" s="334"/>
      <c r="O19" s="334"/>
      <c r="P19" s="334"/>
      <c r="Q19" s="334"/>
      <c r="R19" s="334"/>
      <c r="S19" s="334"/>
      <c r="T19" s="334"/>
      <c r="U19" s="335"/>
      <c r="V19" s="247" t="e">
        <f>VLOOKUP(E19,Лист4!A$3:G$499,7)</f>
        <v>#N/A</v>
      </c>
      <c r="W19" s="247" t="e">
        <f>IF(ISNA(V19),VLOOKUP(E19,категория!A$182:E$197,3,),(2.09+R19*8.3333/категория!D$182))</f>
        <v>#N/A</v>
      </c>
    </row>
    <row r="20" spans="1:23" ht="15.75">
      <c r="A20" s="276">
        <v>43843.833333333336</v>
      </c>
      <c r="B20" s="332" t="s">
        <v>366</v>
      </c>
      <c r="C20" s="333"/>
      <c r="D20" s="334"/>
      <c r="E20" s="334"/>
      <c r="F20" s="334"/>
      <c r="G20" s="334"/>
      <c r="H20" s="334"/>
      <c r="I20" s="334"/>
      <c r="J20" s="334"/>
      <c r="K20" s="334"/>
      <c r="L20" s="334"/>
      <c r="M20" s="334"/>
      <c r="N20" s="334"/>
      <c r="O20" s="334"/>
      <c r="P20" s="334"/>
      <c r="Q20" s="334"/>
      <c r="R20" s="334"/>
      <c r="S20" s="334"/>
      <c r="T20" s="334"/>
      <c r="U20" s="335"/>
      <c r="V20" s="247" t="e">
        <f>VLOOKUP(E20,Лист4!A$3:G$499,7)</f>
        <v>#N/A</v>
      </c>
      <c r="W20" s="247" t="e">
        <f>IF(ISNA(V20),VLOOKUP(E20,категория!A$182:E$197,3,),(2.09+R20*8.3333/категория!D$182))</f>
        <v>#N/A</v>
      </c>
    </row>
    <row r="21" spans="1:23" ht="15.75">
      <c r="A21" s="276">
        <v>43844.333333333336</v>
      </c>
      <c r="B21" s="332" t="s">
        <v>367</v>
      </c>
      <c r="C21" s="333"/>
      <c r="D21" s="334"/>
      <c r="E21" s="334"/>
      <c r="F21" s="334"/>
      <c r="G21" s="334"/>
      <c r="H21" s="334"/>
      <c r="I21" s="334"/>
      <c r="J21" s="334"/>
      <c r="K21" s="334"/>
      <c r="L21" s="334"/>
      <c r="M21" s="334"/>
      <c r="N21" s="334"/>
      <c r="O21" s="334"/>
      <c r="P21" s="334"/>
      <c r="Q21" s="334"/>
      <c r="R21" s="334"/>
      <c r="S21" s="334"/>
      <c r="T21" s="334"/>
      <c r="U21" s="335"/>
      <c r="V21" s="247" t="e">
        <f>VLOOKUP(E21,Лист4!A$3:G$499,7)</f>
        <v>#N/A</v>
      </c>
      <c r="W21" s="247" t="e">
        <f>IF(ISNA(V21),VLOOKUP(E21,категория!A$182:E$197,3,),(2.09+R21*8.3333/категория!D$182))</f>
        <v>#N/A</v>
      </c>
    </row>
    <row r="22" spans="1:23" ht="15.75">
      <c r="A22" s="276">
        <v>43844.833333333336</v>
      </c>
      <c r="B22" s="332" t="s">
        <v>368</v>
      </c>
      <c r="C22" s="333"/>
      <c r="D22" s="334"/>
      <c r="E22" s="334"/>
      <c r="F22" s="334"/>
      <c r="G22" s="334"/>
      <c r="H22" s="334"/>
      <c r="I22" s="334"/>
      <c r="J22" s="334"/>
      <c r="K22" s="334"/>
      <c r="L22" s="334"/>
      <c r="M22" s="334"/>
      <c r="N22" s="334"/>
      <c r="O22" s="334"/>
      <c r="P22" s="334"/>
      <c r="Q22" s="334"/>
      <c r="R22" s="334"/>
      <c r="S22" s="334"/>
      <c r="T22" s="334"/>
      <c r="U22" s="335"/>
      <c r="V22" s="247" t="e">
        <f>VLOOKUP(E22,Лист4!A$3:G$499,7)</f>
        <v>#N/A</v>
      </c>
      <c r="W22" s="247" t="e">
        <f>IF(ISNA(V22),VLOOKUP(E22,категория!A$182:E$197,3,),(2.09+R22*8.3333/категория!D$182))</f>
        <v>#N/A</v>
      </c>
    </row>
    <row r="23" spans="1:23" ht="15.75">
      <c r="A23" s="276">
        <v>43845.333333333336</v>
      </c>
      <c r="B23" s="332" t="s">
        <v>369</v>
      </c>
      <c r="C23" s="333"/>
      <c r="D23" s="334"/>
      <c r="E23" s="334"/>
      <c r="F23" s="334"/>
      <c r="G23" s="334"/>
      <c r="H23" s="334"/>
      <c r="I23" s="334"/>
      <c r="J23" s="334"/>
      <c r="K23" s="334"/>
      <c r="L23" s="334"/>
      <c r="M23" s="334"/>
      <c r="N23" s="334"/>
      <c r="O23" s="334"/>
      <c r="P23" s="334"/>
      <c r="Q23" s="334"/>
      <c r="R23" s="334"/>
      <c r="S23" s="334"/>
      <c r="T23" s="334"/>
      <c r="U23" s="335"/>
      <c r="V23" s="247" t="e">
        <f>VLOOKUP(E23,Лист4!A$3:G$499,7)</f>
        <v>#N/A</v>
      </c>
      <c r="W23" s="247" t="e">
        <f>IF(ISNA(V23),VLOOKUP(E23,категория!A$182:E$197,3,),(2.09+R23*8.3333/категория!D$182))</f>
        <v>#N/A</v>
      </c>
    </row>
    <row r="24" spans="1:23" ht="15.75">
      <c r="A24" s="265">
        <v>43845.375</v>
      </c>
      <c r="B24" s="265">
        <v>43845.40625</v>
      </c>
      <c r="C24" s="265"/>
      <c r="D24" s="275">
        <v>4.1666666666666664E-2</v>
      </c>
      <c r="E24" s="329" t="s">
        <v>263</v>
      </c>
      <c r="F24" s="330"/>
      <c r="G24" s="330"/>
      <c r="H24" s="330"/>
      <c r="I24" s="330"/>
      <c r="J24" s="330"/>
      <c r="K24" s="330"/>
      <c r="L24" s="330"/>
      <c r="M24" s="330"/>
      <c r="N24" s="330"/>
      <c r="O24" s="330"/>
      <c r="P24" s="330"/>
      <c r="Q24" s="330"/>
      <c r="R24" s="330"/>
      <c r="S24" s="330"/>
      <c r="T24" s="330"/>
      <c r="U24" s="331"/>
      <c r="V24" s="247" t="e">
        <f>VLOOKUP(E24,Лист4!A$3:G$499,7)</f>
        <v>#N/A</v>
      </c>
      <c r="W24" s="247">
        <f>8.33*0.75</f>
        <v>6.2475000000000005</v>
      </c>
    </row>
    <row r="25" spans="1:23" ht="39.75" customHeight="1">
      <c r="A25" s="265">
        <v>43845.40625</v>
      </c>
      <c r="B25" s="265">
        <v>43845.427083333336</v>
      </c>
      <c r="C25" s="265"/>
      <c r="D25" s="275">
        <v>3.125E-2</v>
      </c>
      <c r="E25" s="329" t="s">
        <v>32</v>
      </c>
      <c r="F25" s="330"/>
      <c r="G25" s="330"/>
      <c r="H25" s="330"/>
      <c r="I25" s="330"/>
      <c r="J25" s="330"/>
      <c r="K25" s="330"/>
      <c r="L25" s="330"/>
      <c r="M25" s="330"/>
      <c r="N25" s="330"/>
      <c r="O25" s="330"/>
      <c r="P25" s="330"/>
      <c r="Q25" s="330"/>
      <c r="R25" s="330"/>
      <c r="S25" s="330"/>
      <c r="T25" s="330"/>
      <c r="U25" s="331"/>
      <c r="V25" s="247" t="e">
        <f>VLOOKUP(E25,Лист4!A$3:G$499,7)</f>
        <v>#N/A</v>
      </c>
      <c r="W25" s="247">
        <f>IF(ISNA(V25),VLOOKUP(E25,категория!A$182:E$197,3,),(2.09+R25*8.3333/категория!D$182))</f>
        <v>6.26</v>
      </c>
    </row>
    <row r="26" spans="1:23" ht="15.75">
      <c r="A26" s="265">
        <v>43845.427083333336</v>
      </c>
      <c r="B26" s="265">
        <v>43845.447916666664</v>
      </c>
      <c r="C26" s="265"/>
      <c r="D26" s="275">
        <v>2.0833333333333332E-2</v>
      </c>
      <c r="E26" s="329" t="s">
        <v>8</v>
      </c>
      <c r="F26" s="330"/>
      <c r="G26" s="330"/>
      <c r="H26" s="330"/>
      <c r="I26" s="330"/>
      <c r="J26" s="330"/>
      <c r="K26" s="330"/>
      <c r="L26" s="330"/>
      <c r="M26" s="330"/>
      <c r="N26" s="330"/>
      <c r="O26" s="330"/>
      <c r="P26" s="330"/>
      <c r="Q26" s="330"/>
      <c r="R26" s="330"/>
      <c r="S26" s="330"/>
      <c r="T26" s="330"/>
      <c r="U26" s="331"/>
      <c r="V26" s="247" t="e">
        <f>VLOOKUP(E26,Лист4!A$3:G$499,7)</f>
        <v>#N/A</v>
      </c>
      <c r="W26" s="247">
        <f>IF(ISNA(V26),VLOOKUP(E26,категория!A$182:E$197,3,),(2.09+R26*8.3333/категория!D$182))</f>
        <v>4.17</v>
      </c>
    </row>
    <row r="27" spans="1:23">
      <c r="A27" s="265">
        <v>43845.447916666664</v>
      </c>
      <c r="B27" s="265">
        <v>43845.458333333336</v>
      </c>
      <c r="C27" s="265"/>
      <c r="D27" s="275">
        <v>1.0416666666666666E-2</v>
      </c>
      <c r="E27" s="266">
        <v>54</v>
      </c>
      <c r="F27" s="267" t="s">
        <v>333</v>
      </c>
      <c r="G27" s="267" t="s">
        <v>370</v>
      </c>
      <c r="H27" s="268" t="s">
        <v>226</v>
      </c>
      <c r="I27" s="269">
        <v>43844</v>
      </c>
      <c r="J27" s="270"/>
      <c r="K27" s="266" t="s">
        <v>256</v>
      </c>
      <c r="L27" s="271"/>
      <c r="M27" s="272"/>
      <c r="N27" s="267" t="s">
        <v>38</v>
      </c>
      <c r="O27" s="266">
        <v>70</v>
      </c>
      <c r="P27" s="266" t="s">
        <v>236</v>
      </c>
      <c r="Q27" s="273" t="s">
        <v>229</v>
      </c>
      <c r="R27" s="274">
        <v>250</v>
      </c>
      <c r="S27" s="274">
        <v>315</v>
      </c>
      <c r="T27" s="270"/>
      <c r="U27" s="274" t="s">
        <v>79</v>
      </c>
      <c r="V27" s="247" t="str">
        <f>VLOOKUP(E27,Лист4!A$3:G$499,7)</f>
        <v>практика ч/б</v>
      </c>
      <c r="W27" s="247">
        <f>IF(ISNA(V27),VLOOKUP(E27,категория!A$182:E$197,3,),(2.09+R27*8.3333/категория!D$182))</f>
        <v>2.7844416666666665</v>
      </c>
    </row>
    <row r="28" spans="1:23" ht="15.75">
      <c r="A28" s="265">
        <v>43845.458333333336</v>
      </c>
      <c r="B28" s="265">
        <v>43845.75</v>
      </c>
      <c r="C28" s="265">
        <f>B28-A28</f>
        <v>0.29166666666424135</v>
      </c>
      <c r="D28" s="275">
        <v>4.1666666666666664E-2</v>
      </c>
      <c r="E28" s="329" t="s">
        <v>263</v>
      </c>
      <c r="F28" s="330"/>
      <c r="G28" s="330"/>
      <c r="H28" s="330"/>
      <c r="I28" s="330"/>
      <c r="J28" s="330"/>
      <c r="K28" s="330"/>
      <c r="L28" s="330"/>
      <c r="M28" s="330"/>
      <c r="N28" s="330"/>
      <c r="O28" s="330"/>
      <c r="P28" s="330"/>
      <c r="Q28" s="330"/>
      <c r="R28" s="330"/>
      <c r="S28" s="330"/>
      <c r="T28" s="330"/>
      <c r="U28" s="331"/>
      <c r="V28" s="247" t="e">
        <f>VLOOKUP(E28,Лист4!A$3:G$499,7)</f>
        <v>#N/A</v>
      </c>
      <c r="W28" s="247">
        <f>7*8.333</f>
        <v>58.331000000000003</v>
      </c>
    </row>
    <row r="29" spans="1:23" ht="15.75">
      <c r="A29" s="265">
        <v>43845.75</v>
      </c>
      <c r="B29" s="265">
        <v>43845.770833333336</v>
      </c>
      <c r="C29" s="265"/>
      <c r="D29" s="275">
        <v>2.0833333333333332E-2</v>
      </c>
      <c r="E29" s="329" t="s">
        <v>8</v>
      </c>
      <c r="F29" s="330"/>
      <c r="G29" s="330"/>
      <c r="H29" s="330"/>
      <c r="I29" s="330"/>
      <c r="J29" s="330"/>
      <c r="K29" s="330"/>
      <c r="L29" s="330"/>
      <c r="M29" s="330"/>
      <c r="N29" s="330"/>
      <c r="O29" s="330"/>
      <c r="P29" s="330"/>
      <c r="Q29" s="330"/>
      <c r="R29" s="330"/>
      <c r="S29" s="330"/>
      <c r="T29" s="330"/>
      <c r="U29" s="331"/>
      <c r="V29" s="247" t="e">
        <f>VLOOKUP(E29,Лист4!A$3:G$499,7)</f>
        <v>#N/A</v>
      </c>
      <c r="W29" s="247">
        <f>IF(ISNA(V29),VLOOKUP(E29,категория!A$182:E$197,3,),(2.09+R29*8.3333/категория!D$182))</f>
        <v>4.17</v>
      </c>
    </row>
    <row r="30" spans="1:23" ht="48">
      <c r="A30" s="265">
        <v>43845.770833333336</v>
      </c>
      <c r="B30" s="265">
        <v>43845.791666666664</v>
      </c>
      <c r="C30" s="265"/>
      <c r="D30" s="275">
        <v>2.0833333333333332E-2</v>
      </c>
      <c r="E30" s="266">
        <v>78</v>
      </c>
      <c r="F30" s="267" t="s">
        <v>243</v>
      </c>
      <c r="G30" s="267" t="s">
        <v>371</v>
      </c>
      <c r="H30" s="268" t="s">
        <v>226</v>
      </c>
      <c r="I30" s="269">
        <v>43854</v>
      </c>
      <c r="J30" s="270"/>
      <c r="K30" s="266" t="s">
        <v>256</v>
      </c>
      <c r="L30" s="271"/>
      <c r="M30" s="272"/>
      <c r="N30" s="267" t="s">
        <v>39</v>
      </c>
      <c r="O30" s="266">
        <v>210</v>
      </c>
      <c r="P30" s="266" t="s">
        <v>236</v>
      </c>
      <c r="Q30" s="273" t="s">
        <v>229</v>
      </c>
      <c r="R30" s="274">
        <v>334</v>
      </c>
      <c r="S30" s="274">
        <v>401</v>
      </c>
      <c r="T30" s="270"/>
      <c r="U30" s="274" t="s">
        <v>79</v>
      </c>
      <c r="V30" s="247" t="str">
        <f>VLOOKUP(E30,Лист4!A$3:G$499,7)</f>
        <v>практика ч/б</v>
      </c>
      <c r="W30" s="247">
        <f>IF(ISNA(V30),VLOOKUP(E30,категория!A$182:E$197,3,),(2.09+R30*8.3333/категория!D$182))</f>
        <v>3.0177740666666661</v>
      </c>
    </row>
    <row r="31" spans="1:23" ht="15.75">
      <c r="A31" s="276">
        <v>43845.833333333336</v>
      </c>
      <c r="B31" s="332" t="s">
        <v>372</v>
      </c>
      <c r="C31" s="333"/>
      <c r="D31" s="334"/>
      <c r="E31" s="334"/>
      <c r="F31" s="334"/>
      <c r="G31" s="334"/>
      <c r="H31" s="334"/>
      <c r="I31" s="334"/>
      <c r="J31" s="334"/>
      <c r="K31" s="334"/>
      <c r="L31" s="334"/>
      <c r="M31" s="334"/>
      <c r="N31" s="334"/>
      <c r="O31" s="334"/>
      <c r="P31" s="334"/>
      <c r="Q31" s="334"/>
      <c r="R31" s="334"/>
      <c r="S31" s="334"/>
      <c r="T31" s="334"/>
      <c r="U31" s="335"/>
      <c r="V31" s="247" t="e">
        <f>VLOOKUP(E31,Лист4!A$3:G$499,7)</f>
        <v>#N/A</v>
      </c>
      <c r="W31" s="187">
        <f>SUM(W24:W30)</f>
        <v>84.980715733333341</v>
      </c>
    </row>
    <row r="32" spans="1:23" ht="31.5" customHeight="1">
      <c r="A32" s="276">
        <v>43846.333333333336</v>
      </c>
      <c r="B32" s="332" t="s">
        <v>373</v>
      </c>
      <c r="C32" s="333"/>
      <c r="D32" s="334"/>
      <c r="E32" s="334"/>
      <c r="F32" s="334"/>
      <c r="G32" s="334"/>
      <c r="H32" s="334"/>
      <c r="I32" s="334"/>
      <c r="J32" s="334"/>
      <c r="K32" s="334"/>
      <c r="L32" s="334"/>
      <c r="M32" s="334"/>
      <c r="N32" s="334"/>
      <c r="O32" s="334"/>
      <c r="P32" s="334"/>
      <c r="Q32" s="334"/>
      <c r="R32" s="334"/>
      <c r="S32" s="334"/>
      <c r="T32" s="334"/>
      <c r="U32" s="335"/>
      <c r="V32" s="247" t="e">
        <f>VLOOKUP(E32,Лист4!A$3:G$499,7)</f>
        <v>#N/A</v>
      </c>
      <c r="W32" s="247" t="e">
        <f>IF(ISNA(V32),VLOOKUP(E32,категория!A$182:E$197,3,),(2.09+R32*8.3333/категория!D$182))</f>
        <v>#N/A</v>
      </c>
    </row>
    <row r="33" spans="1:23" ht="15.75">
      <c r="A33" s="265">
        <v>43846.375</v>
      </c>
      <c r="B33" s="265">
        <v>43846.395833333336</v>
      </c>
      <c r="C33" s="265"/>
      <c r="D33" s="275">
        <v>2.0833333333333332E-2</v>
      </c>
      <c r="E33" s="329" t="s">
        <v>32</v>
      </c>
      <c r="F33" s="330"/>
      <c r="G33" s="330"/>
      <c r="H33" s="330"/>
      <c r="I33" s="330"/>
      <c r="J33" s="330"/>
      <c r="K33" s="330"/>
      <c r="L33" s="330"/>
      <c r="M33" s="330"/>
      <c r="N33" s="330"/>
      <c r="O33" s="330"/>
      <c r="P33" s="330"/>
      <c r="Q33" s="330"/>
      <c r="R33" s="330"/>
      <c r="S33" s="330"/>
      <c r="T33" s="330"/>
      <c r="U33" s="331"/>
      <c r="V33" s="247" t="e">
        <f>VLOOKUP(E33,Лист4!A$3:G$499,7)</f>
        <v>#N/A</v>
      </c>
      <c r="W33" s="247">
        <f>IF(ISNA(V33),VLOOKUP(E33,категория!A$182:E$197,3,),(2.09+R33*8.3333/категория!D$182))</f>
        <v>6.26</v>
      </c>
    </row>
    <row r="34" spans="1:23" ht="21.75" customHeight="1">
      <c r="A34" s="265">
        <v>43846.395833333336</v>
      </c>
      <c r="B34" s="265">
        <v>43846.416666666664</v>
      </c>
      <c r="C34" s="265"/>
      <c r="D34" s="275">
        <v>2.0833333333333332E-2</v>
      </c>
      <c r="E34" s="329" t="s">
        <v>8</v>
      </c>
      <c r="F34" s="330"/>
      <c r="G34" s="330"/>
      <c r="H34" s="330"/>
      <c r="I34" s="330"/>
      <c r="J34" s="330"/>
      <c r="K34" s="330"/>
      <c r="L34" s="330"/>
      <c r="M34" s="330"/>
      <c r="N34" s="330"/>
      <c r="O34" s="330"/>
      <c r="P34" s="330"/>
      <c r="Q34" s="330"/>
      <c r="R34" s="330"/>
      <c r="S34" s="330"/>
      <c r="T34" s="330"/>
      <c r="U34" s="331"/>
      <c r="V34" s="247" t="e">
        <f>VLOOKUP(E34,Лист4!A$3:G$499,7)</f>
        <v>#N/A</v>
      </c>
      <c r="W34" s="247">
        <f>IF(ISNA(V34),VLOOKUP(E34,категория!A$182:E$197,3,),(2.09+R34*8.3333/категория!D$182))</f>
        <v>4.17</v>
      </c>
    </row>
    <row r="35" spans="1:23" ht="44.25" customHeight="1">
      <c r="A35" s="265">
        <v>43846.416666666664</v>
      </c>
      <c r="B35" s="265">
        <v>43846.4375</v>
      </c>
      <c r="C35" s="265"/>
      <c r="D35" s="275">
        <v>2.0833333333333332E-2</v>
      </c>
      <c r="E35" s="266">
        <v>95</v>
      </c>
      <c r="F35" s="267" t="s">
        <v>295</v>
      </c>
      <c r="G35" s="267" t="s">
        <v>374</v>
      </c>
      <c r="H35" s="268" t="s">
        <v>226</v>
      </c>
      <c r="I35" s="269">
        <v>43850</v>
      </c>
      <c r="J35" s="270"/>
      <c r="K35" s="266" t="s">
        <v>256</v>
      </c>
      <c r="L35" s="271"/>
      <c r="M35" s="272"/>
      <c r="N35" s="267" t="s">
        <v>38</v>
      </c>
      <c r="O35" s="266">
        <v>55</v>
      </c>
      <c r="P35" s="266" t="s">
        <v>375</v>
      </c>
      <c r="Q35" s="273" t="s">
        <v>229</v>
      </c>
      <c r="R35" s="274">
        <v>1350</v>
      </c>
      <c r="S35" s="274">
        <v>1335</v>
      </c>
      <c r="T35" s="270"/>
      <c r="U35" s="274" t="s">
        <v>79</v>
      </c>
      <c r="V35" s="247" t="str">
        <f>VLOOKUP(E35,Лист4!A$3:G$499,7)</f>
        <v>практика ч/б</v>
      </c>
      <c r="W35" s="247">
        <f>IF(ISNA(V35),VLOOKUP(E35,категория!A$182:E$197,3,),(2.09+R35*8.3333/категория!D$182))</f>
        <v>5.8399850000000004</v>
      </c>
    </row>
    <row r="36" spans="1:23" ht="15.75">
      <c r="A36" s="265">
        <v>43846.4375</v>
      </c>
      <c r="B36" s="265">
        <v>43846.5625</v>
      </c>
      <c r="C36" s="265">
        <f>B36-A36</f>
        <v>0.125</v>
      </c>
      <c r="D36" s="275">
        <v>4.1666666666666664E-2</v>
      </c>
      <c r="E36" s="329" t="s">
        <v>263</v>
      </c>
      <c r="F36" s="330"/>
      <c r="G36" s="330"/>
      <c r="H36" s="330"/>
      <c r="I36" s="330"/>
      <c r="J36" s="330"/>
      <c r="K36" s="330"/>
      <c r="L36" s="330"/>
      <c r="M36" s="330"/>
      <c r="N36" s="330"/>
      <c r="O36" s="330"/>
      <c r="P36" s="330"/>
      <c r="Q36" s="330"/>
      <c r="R36" s="330"/>
      <c r="S36" s="330"/>
      <c r="T36" s="330"/>
      <c r="U36" s="331"/>
      <c r="V36" s="247" t="e">
        <f>VLOOKUP(E36,Лист4!A$3:G$499,7)</f>
        <v>#N/A</v>
      </c>
      <c r="W36" s="247">
        <f>3*8.3333</f>
        <v>24.999899999999997</v>
      </c>
    </row>
    <row r="37" spans="1:23" ht="144">
      <c r="A37" s="265">
        <v>43846.5625</v>
      </c>
      <c r="B37" s="265">
        <v>43846.625</v>
      </c>
      <c r="C37" s="265"/>
      <c r="D37" s="275">
        <v>6.25E-2</v>
      </c>
      <c r="E37" s="266">
        <v>110</v>
      </c>
      <c r="F37" s="267" t="s">
        <v>348</v>
      </c>
      <c r="G37" s="267" t="s">
        <v>376</v>
      </c>
      <c r="H37" s="268" t="s">
        <v>289</v>
      </c>
      <c r="I37" s="269">
        <v>43857</v>
      </c>
      <c r="J37" s="270"/>
      <c r="K37" s="266" t="s">
        <v>256</v>
      </c>
      <c r="L37" s="271"/>
      <c r="M37" s="272"/>
      <c r="N37" s="267" t="s">
        <v>38</v>
      </c>
      <c r="O37" s="266">
        <v>80</v>
      </c>
      <c r="P37" s="266" t="s">
        <v>377</v>
      </c>
      <c r="Q37" s="273" t="s">
        <v>229</v>
      </c>
      <c r="R37" s="274">
        <v>6600</v>
      </c>
      <c r="S37" s="274">
        <v>6619</v>
      </c>
      <c r="T37" s="270"/>
      <c r="U37" s="274" t="s">
        <v>79</v>
      </c>
      <c r="V37" s="247" t="s">
        <v>59</v>
      </c>
      <c r="W37" s="247">
        <f>IF(ISNA(V37),VLOOKUP(E37,категория!A$182:E$197,3,),(2.09+R37*8.3333/категория!D$182))</f>
        <v>20.423259999999999</v>
      </c>
    </row>
    <row r="38" spans="1:23" ht="15.75">
      <c r="A38" s="265">
        <v>43846.625</v>
      </c>
      <c r="B38" s="265">
        <v>43846.645833333336</v>
      </c>
      <c r="C38" s="265"/>
      <c r="D38" s="275">
        <v>2.0833333333333332E-2</v>
      </c>
      <c r="E38" s="329" t="s">
        <v>34</v>
      </c>
      <c r="F38" s="330"/>
      <c r="G38" s="330"/>
      <c r="H38" s="330"/>
      <c r="I38" s="330"/>
      <c r="J38" s="330"/>
      <c r="K38" s="330"/>
      <c r="L38" s="330"/>
      <c r="M38" s="330"/>
      <c r="N38" s="330"/>
      <c r="O38" s="330"/>
      <c r="P38" s="330"/>
      <c r="Q38" s="330"/>
      <c r="R38" s="330"/>
      <c r="S38" s="330"/>
      <c r="T38" s="330"/>
      <c r="U38" s="331"/>
      <c r="V38" s="247" t="e">
        <f>VLOOKUP(E38,Лист4!A$3:G$499,7)</f>
        <v>#N/A</v>
      </c>
      <c r="W38" s="247">
        <f>IF(ISNA(V38),VLOOKUP(E38,категория!A$182:E$197,3,),(2.09+R38*8.3333/категория!D$182))</f>
        <v>3.48</v>
      </c>
    </row>
    <row r="39" spans="1:23" ht="15.75">
      <c r="A39" s="265">
        <v>43846.645833333336</v>
      </c>
      <c r="B39" s="265">
        <v>43846.666666666664</v>
      </c>
      <c r="C39" s="265"/>
      <c r="D39" s="275">
        <v>2.0833333333333332E-2</v>
      </c>
      <c r="E39" s="329" t="s">
        <v>2</v>
      </c>
      <c r="F39" s="330"/>
      <c r="G39" s="330"/>
      <c r="H39" s="330"/>
      <c r="I39" s="330"/>
      <c r="J39" s="330"/>
      <c r="K39" s="330"/>
      <c r="L39" s="330"/>
      <c r="M39" s="330"/>
      <c r="N39" s="330"/>
      <c r="O39" s="330"/>
      <c r="P39" s="330"/>
      <c r="Q39" s="330"/>
      <c r="R39" s="330"/>
      <c r="S39" s="330"/>
      <c r="T39" s="330"/>
      <c r="U39" s="331"/>
      <c r="V39" s="247" t="e">
        <f>VLOOKUP(E39,Лист4!A$3:G$499,7)</f>
        <v>#N/A</v>
      </c>
      <c r="W39" s="247">
        <f>IF(ISNA(V39),VLOOKUP(E39,категория!A$182:E$197,3,),(2.09+R39*8.3333/категория!D$182))</f>
        <v>4.17</v>
      </c>
    </row>
    <row r="40" spans="1:23" ht="15.75">
      <c r="A40" s="276">
        <v>43846.833333333336</v>
      </c>
      <c r="B40" s="332" t="s">
        <v>378</v>
      </c>
      <c r="C40" s="333"/>
      <c r="D40" s="334"/>
      <c r="E40" s="334"/>
      <c r="F40" s="334"/>
      <c r="G40" s="334"/>
      <c r="H40" s="334"/>
      <c r="I40" s="334"/>
      <c r="J40" s="334"/>
      <c r="K40" s="334"/>
      <c r="L40" s="334"/>
      <c r="M40" s="334"/>
      <c r="N40" s="334"/>
      <c r="O40" s="334"/>
      <c r="P40" s="334"/>
      <c r="Q40" s="334"/>
      <c r="R40" s="334"/>
      <c r="S40" s="334"/>
      <c r="T40" s="334"/>
      <c r="U40" s="335"/>
      <c r="V40" s="247" t="e">
        <f>VLOOKUP(E40,Лист4!A$3:G$499,7)</f>
        <v>#N/A</v>
      </c>
      <c r="W40" s="187">
        <f>SUM(W33:W39)</f>
        <v>69.343144999999993</v>
      </c>
    </row>
    <row r="41" spans="1:23" ht="15.75">
      <c r="A41" s="276">
        <v>43847.333333333336</v>
      </c>
      <c r="B41" s="332" t="s">
        <v>379</v>
      </c>
      <c r="C41" s="333"/>
      <c r="D41" s="334"/>
      <c r="E41" s="334"/>
      <c r="F41" s="334"/>
      <c r="G41" s="334"/>
      <c r="H41" s="334"/>
      <c r="I41" s="334"/>
      <c r="J41" s="334"/>
      <c r="K41" s="334"/>
      <c r="L41" s="334"/>
      <c r="M41" s="334"/>
      <c r="N41" s="334"/>
      <c r="O41" s="334"/>
      <c r="P41" s="334"/>
      <c r="Q41" s="334"/>
      <c r="R41" s="334"/>
      <c r="S41" s="334"/>
      <c r="T41" s="334"/>
      <c r="U41" s="335"/>
      <c r="V41" s="247" t="e">
        <f>VLOOKUP(E41,Лист4!A$3:G$499,7)</f>
        <v>#N/A</v>
      </c>
      <c r="W41" s="247" t="e">
        <f>IF(ISNA(V41),VLOOKUP(E41,категория!A$182:E$197,3,),(2.09+R41*8.3333/категория!D$182))</f>
        <v>#N/A</v>
      </c>
    </row>
    <row r="42" spans="1:23" ht="15.75">
      <c r="A42" s="276">
        <v>43847.833333333336</v>
      </c>
      <c r="B42" s="332" t="s">
        <v>380</v>
      </c>
      <c r="C42" s="333"/>
      <c r="D42" s="334"/>
      <c r="E42" s="334"/>
      <c r="F42" s="334"/>
      <c r="G42" s="334"/>
      <c r="H42" s="334"/>
      <c r="I42" s="334"/>
      <c r="J42" s="334"/>
      <c r="K42" s="334"/>
      <c r="L42" s="334"/>
      <c r="M42" s="334"/>
      <c r="N42" s="334"/>
      <c r="O42" s="334"/>
      <c r="P42" s="334"/>
      <c r="Q42" s="334"/>
      <c r="R42" s="334"/>
      <c r="S42" s="334"/>
      <c r="T42" s="334"/>
      <c r="U42" s="335"/>
      <c r="V42" s="247" t="e">
        <f>VLOOKUP(E42,Лист4!A$3:G$499,7)</f>
        <v>#N/A</v>
      </c>
      <c r="W42" s="247" t="e">
        <f>IF(ISNA(V42),VLOOKUP(E42,категория!A$182:E$197,3,),(2.09+R42*8.3333/категория!D$182))</f>
        <v>#N/A</v>
      </c>
    </row>
    <row r="43" spans="1:23" ht="15.75">
      <c r="A43" s="276">
        <v>43848.333333333336</v>
      </c>
      <c r="B43" s="332" t="s">
        <v>381</v>
      </c>
      <c r="C43" s="333"/>
      <c r="D43" s="334"/>
      <c r="E43" s="334"/>
      <c r="F43" s="334"/>
      <c r="G43" s="334"/>
      <c r="H43" s="334"/>
      <c r="I43" s="334"/>
      <c r="J43" s="334"/>
      <c r="K43" s="334"/>
      <c r="L43" s="334"/>
      <c r="M43" s="334"/>
      <c r="N43" s="334"/>
      <c r="O43" s="334"/>
      <c r="P43" s="334"/>
      <c r="Q43" s="334"/>
      <c r="R43" s="334"/>
      <c r="S43" s="334"/>
      <c r="T43" s="334"/>
      <c r="U43" s="335"/>
      <c r="V43" s="247" t="e">
        <f>VLOOKUP(E43,Лист4!A$3:G$499,7)</f>
        <v>#N/A</v>
      </c>
      <c r="W43" s="247" t="e">
        <f>IF(ISNA(V43),VLOOKUP(E43,категория!A$182:E$197,3,),(2.09+R43*8.3333/категория!D$182))</f>
        <v>#N/A</v>
      </c>
    </row>
    <row r="44" spans="1:23" ht="15.75">
      <c r="A44" s="276">
        <v>43848.833333333336</v>
      </c>
      <c r="B44" s="332" t="s">
        <v>382</v>
      </c>
      <c r="C44" s="333"/>
      <c r="D44" s="334"/>
      <c r="E44" s="334"/>
      <c r="F44" s="334"/>
      <c r="G44" s="334"/>
      <c r="H44" s="334"/>
      <c r="I44" s="334"/>
      <c r="J44" s="334"/>
      <c r="K44" s="334"/>
      <c r="L44" s="334"/>
      <c r="M44" s="334"/>
      <c r="N44" s="334"/>
      <c r="O44" s="334"/>
      <c r="P44" s="334"/>
      <c r="Q44" s="334"/>
      <c r="R44" s="334"/>
      <c r="S44" s="334"/>
      <c r="T44" s="334"/>
      <c r="U44" s="335"/>
      <c r="V44" s="247" t="e">
        <f>VLOOKUP(E44,Лист4!A$3:G$499,7)</f>
        <v>#N/A</v>
      </c>
      <c r="W44" s="247" t="e">
        <f>IF(ISNA(V44),VLOOKUP(E44,категория!A$182:E$197,3,),(2.09+R44*8.3333/категория!D$182))</f>
        <v>#N/A</v>
      </c>
    </row>
    <row r="45" spans="1:23" ht="15.75">
      <c r="A45" s="276">
        <v>43849.333333333336</v>
      </c>
      <c r="B45" s="332" t="s">
        <v>383</v>
      </c>
      <c r="C45" s="333"/>
      <c r="D45" s="334"/>
      <c r="E45" s="334"/>
      <c r="F45" s="334"/>
      <c r="G45" s="334"/>
      <c r="H45" s="334"/>
      <c r="I45" s="334"/>
      <c r="J45" s="334"/>
      <c r="K45" s="334"/>
      <c r="L45" s="334"/>
      <c r="M45" s="334"/>
      <c r="N45" s="334"/>
      <c r="O45" s="334"/>
      <c r="P45" s="334"/>
      <c r="Q45" s="334"/>
      <c r="R45" s="334"/>
      <c r="S45" s="334"/>
      <c r="T45" s="334"/>
      <c r="U45" s="335"/>
      <c r="V45" s="247" t="e">
        <f>VLOOKUP(E45,Лист4!A$3:G$499,7)</f>
        <v>#N/A</v>
      </c>
      <c r="W45" s="247" t="e">
        <f>IF(ISNA(V45),VLOOKUP(E45,категория!A$182:E$197,3,),(2.09+R45*8.3333/категория!D$182))</f>
        <v>#N/A</v>
      </c>
    </row>
    <row r="46" spans="1:23" ht="15.75">
      <c r="A46" s="276">
        <v>43849.833333333336</v>
      </c>
      <c r="B46" s="332" t="s">
        <v>384</v>
      </c>
      <c r="C46" s="333"/>
      <c r="D46" s="334"/>
      <c r="E46" s="334"/>
      <c r="F46" s="334"/>
      <c r="G46" s="334"/>
      <c r="H46" s="334"/>
      <c r="I46" s="334"/>
      <c r="J46" s="334"/>
      <c r="K46" s="334"/>
      <c r="L46" s="334"/>
      <c r="M46" s="334"/>
      <c r="N46" s="334"/>
      <c r="O46" s="334"/>
      <c r="P46" s="334"/>
      <c r="Q46" s="334"/>
      <c r="R46" s="334"/>
      <c r="S46" s="334"/>
      <c r="T46" s="334"/>
      <c r="U46" s="335"/>
      <c r="V46" s="247" t="e">
        <f>VLOOKUP(E46,Лист4!A$3:G$499,7)</f>
        <v>#N/A</v>
      </c>
      <c r="W46" s="247" t="e">
        <f>IF(ISNA(V46),VLOOKUP(E46,категория!A$182:E$197,3,),(2.09+R46*8.3333/категория!D$182))</f>
        <v>#N/A</v>
      </c>
    </row>
    <row r="47" spans="1:23" ht="15.75">
      <c r="A47" s="276">
        <v>43850.333333333336</v>
      </c>
      <c r="B47" s="332" t="s">
        <v>385</v>
      </c>
      <c r="C47" s="333"/>
      <c r="D47" s="334"/>
      <c r="E47" s="334"/>
      <c r="F47" s="334"/>
      <c r="G47" s="334"/>
      <c r="H47" s="334"/>
      <c r="I47" s="334"/>
      <c r="J47" s="334"/>
      <c r="K47" s="334"/>
      <c r="L47" s="334"/>
      <c r="M47" s="334"/>
      <c r="N47" s="334"/>
      <c r="O47" s="334"/>
      <c r="P47" s="334"/>
      <c r="Q47" s="334"/>
      <c r="R47" s="334"/>
      <c r="S47" s="334"/>
      <c r="T47" s="334"/>
      <c r="U47" s="335"/>
      <c r="V47" s="247" t="e">
        <f>VLOOKUP(E47,Лист4!A$3:G$499,7)</f>
        <v>#N/A</v>
      </c>
      <c r="W47" s="247" t="e">
        <f>IF(ISNA(V47),VLOOKUP(E47,категория!A$182:E$197,3,),(2.09+R47*8.3333/категория!D$182))</f>
        <v>#N/A</v>
      </c>
    </row>
    <row r="48" spans="1:23" ht="15.75">
      <c r="A48" s="276">
        <v>43850.833333333336</v>
      </c>
      <c r="B48" s="332" t="s">
        <v>386</v>
      </c>
      <c r="C48" s="333"/>
      <c r="D48" s="334"/>
      <c r="E48" s="334"/>
      <c r="F48" s="334"/>
      <c r="G48" s="334"/>
      <c r="H48" s="334"/>
      <c r="I48" s="334"/>
      <c r="J48" s="334"/>
      <c r="K48" s="334"/>
      <c r="L48" s="334"/>
      <c r="M48" s="334"/>
      <c r="N48" s="334"/>
      <c r="O48" s="334"/>
      <c r="P48" s="334"/>
      <c r="Q48" s="334"/>
      <c r="R48" s="334"/>
      <c r="S48" s="334"/>
      <c r="T48" s="334"/>
      <c r="U48" s="335"/>
      <c r="V48" s="247" t="e">
        <f>VLOOKUP(E48,Лист4!A$3:G$499,7)</f>
        <v>#N/A</v>
      </c>
      <c r="W48" s="247" t="e">
        <f>IF(ISNA(V48),VLOOKUP(E48,категория!A$182:E$197,3,),(2.09+R48*8.3333/категория!D$182))</f>
        <v>#N/A</v>
      </c>
    </row>
    <row r="49" spans="1:23" ht="15.75">
      <c r="A49" s="276">
        <v>43851.333333333336</v>
      </c>
      <c r="B49" s="332" t="s">
        <v>387</v>
      </c>
      <c r="C49" s="333"/>
      <c r="D49" s="334"/>
      <c r="E49" s="334"/>
      <c r="F49" s="334"/>
      <c r="G49" s="334"/>
      <c r="H49" s="334"/>
      <c r="I49" s="334"/>
      <c r="J49" s="334"/>
      <c r="K49" s="334"/>
      <c r="L49" s="334"/>
      <c r="M49" s="334"/>
      <c r="N49" s="334"/>
      <c r="O49" s="334"/>
      <c r="P49" s="334"/>
      <c r="Q49" s="334"/>
      <c r="R49" s="334"/>
      <c r="S49" s="334"/>
      <c r="T49" s="334"/>
      <c r="U49" s="335"/>
      <c r="V49" s="247" t="e">
        <f>VLOOKUP(E49,Лист4!A$3:G$499,7)</f>
        <v>#N/A</v>
      </c>
      <c r="W49" s="247" t="e">
        <f>IF(ISNA(V49),VLOOKUP(E49,категория!A$182:E$197,3,),(2.09+R49*8.3333/категория!D$182))</f>
        <v>#N/A</v>
      </c>
    </row>
    <row r="50" spans="1:23" ht="15.75">
      <c r="A50" s="276">
        <v>43851.833333333336</v>
      </c>
      <c r="B50" s="332" t="s">
        <v>388</v>
      </c>
      <c r="C50" s="333"/>
      <c r="D50" s="334"/>
      <c r="E50" s="334"/>
      <c r="F50" s="334"/>
      <c r="G50" s="334"/>
      <c r="H50" s="334"/>
      <c r="I50" s="334"/>
      <c r="J50" s="334"/>
      <c r="K50" s="334"/>
      <c r="L50" s="334"/>
      <c r="M50" s="334"/>
      <c r="N50" s="334"/>
      <c r="O50" s="334"/>
      <c r="P50" s="334"/>
      <c r="Q50" s="334"/>
      <c r="R50" s="334"/>
      <c r="S50" s="334"/>
      <c r="T50" s="334"/>
      <c r="U50" s="335"/>
      <c r="V50" s="247" t="e">
        <f>VLOOKUP(E50,Лист4!A$3:G$499,7)</f>
        <v>#N/A</v>
      </c>
      <c r="W50" s="247" t="e">
        <f>IF(ISNA(V50),VLOOKUP(E50,категория!A$182:E$197,3,),(2.09+R50*8.3333/категория!D$182))</f>
        <v>#N/A</v>
      </c>
    </row>
    <row r="51" spans="1:23" ht="15.75">
      <c r="A51" s="276">
        <v>43852.333333333336</v>
      </c>
      <c r="B51" s="332" t="s">
        <v>389</v>
      </c>
      <c r="C51" s="333"/>
      <c r="D51" s="334"/>
      <c r="E51" s="334"/>
      <c r="F51" s="334"/>
      <c r="G51" s="334"/>
      <c r="H51" s="334"/>
      <c r="I51" s="334"/>
      <c r="J51" s="334"/>
      <c r="K51" s="334"/>
      <c r="L51" s="334"/>
      <c r="M51" s="334"/>
      <c r="N51" s="334"/>
      <c r="O51" s="334"/>
      <c r="P51" s="334"/>
      <c r="Q51" s="334"/>
      <c r="R51" s="334"/>
      <c r="S51" s="334"/>
      <c r="T51" s="334"/>
      <c r="U51" s="335"/>
      <c r="V51" s="247" t="e">
        <f>VLOOKUP(E51,Лист4!A$3:G$499,7)</f>
        <v>#N/A</v>
      </c>
      <c r="W51" s="247" t="e">
        <f>IF(ISNA(V51),VLOOKUP(E51,категория!A$182:E$197,3,),(2.09+R51*8.3333/категория!D$182))</f>
        <v>#N/A</v>
      </c>
    </row>
    <row r="52" spans="1:23" ht="15.75">
      <c r="A52" s="265">
        <v>43852.416666666664</v>
      </c>
      <c r="B52" s="265">
        <v>43852.4375</v>
      </c>
      <c r="C52" s="265"/>
      <c r="D52" s="275">
        <v>3.125E-2</v>
      </c>
      <c r="E52" s="329" t="s">
        <v>32</v>
      </c>
      <c r="F52" s="330"/>
      <c r="G52" s="330"/>
      <c r="H52" s="330"/>
      <c r="I52" s="330"/>
      <c r="J52" s="330"/>
      <c r="K52" s="330"/>
      <c r="L52" s="330"/>
      <c r="M52" s="330"/>
      <c r="N52" s="330"/>
      <c r="O52" s="330"/>
      <c r="P52" s="330"/>
      <c r="Q52" s="330"/>
      <c r="R52" s="330"/>
      <c r="S52" s="330"/>
      <c r="T52" s="330"/>
      <c r="U52" s="331"/>
      <c r="V52" s="247" t="e">
        <f>VLOOKUP(E52,Лист4!A$3:G$499,7)</f>
        <v>#N/A</v>
      </c>
      <c r="W52" s="247">
        <f>IF(ISNA(V52),VLOOKUP(E52,категория!A$182:E$197,3,),(2.09+R52*8.3333/категория!D$182))</f>
        <v>6.26</v>
      </c>
    </row>
    <row r="53" spans="1:23" ht="15.75">
      <c r="A53" s="265">
        <v>43852.4375</v>
      </c>
      <c r="B53" s="265">
        <v>43852.458333333336</v>
      </c>
      <c r="C53" s="265"/>
      <c r="D53" s="275">
        <v>2.0833333333333332E-2</v>
      </c>
      <c r="E53" s="329" t="s">
        <v>8</v>
      </c>
      <c r="F53" s="330"/>
      <c r="G53" s="330"/>
      <c r="H53" s="330"/>
      <c r="I53" s="330"/>
      <c r="J53" s="330"/>
      <c r="K53" s="330"/>
      <c r="L53" s="330"/>
      <c r="M53" s="330"/>
      <c r="N53" s="330"/>
      <c r="O53" s="330"/>
      <c r="P53" s="330"/>
      <c r="Q53" s="330"/>
      <c r="R53" s="330"/>
      <c r="S53" s="330"/>
      <c r="T53" s="330"/>
      <c r="U53" s="331"/>
      <c r="V53" s="247" t="e">
        <f>VLOOKUP(E53,Лист4!A$3:G$499,7)</f>
        <v>#N/A</v>
      </c>
      <c r="W53" s="247">
        <f>IF(ISNA(V53),VLOOKUP(E53,категория!A$182:E$197,3,),(2.09+R53*8.3333/категория!D$182))</f>
        <v>4.17</v>
      </c>
    </row>
    <row r="54" spans="1:23" ht="132">
      <c r="A54" s="265">
        <v>43852.458333333336</v>
      </c>
      <c r="B54" s="265">
        <v>43852.465277777781</v>
      </c>
      <c r="C54" s="265"/>
      <c r="D54" s="275">
        <v>6.9444444444444441E-3</v>
      </c>
      <c r="E54" s="266">
        <v>149</v>
      </c>
      <c r="F54" s="267" t="s">
        <v>275</v>
      </c>
      <c r="G54" s="267" t="s">
        <v>390</v>
      </c>
      <c r="H54" s="268" t="s">
        <v>289</v>
      </c>
      <c r="I54" s="269">
        <v>43854</v>
      </c>
      <c r="J54" s="270"/>
      <c r="K54" s="266" t="s">
        <v>256</v>
      </c>
      <c r="L54" s="271"/>
      <c r="M54" s="272"/>
      <c r="N54" s="267" t="s">
        <v>38</v>
      </c>
      <c r="O54" s="266">
        <v>80</v>
      </c>
      <c r="P54" s="266" t="s">
        <v>236</v>
      </c>
      <c r="Q54" s="273" t="s">
        <v>229</v>
      </c>
      <c r="R54" s="274">
        <v>625</v>
      </c>
      <c r="S54" s="274">
        <v>698</v>
      </c>
      <c r="T54" s="270"/>
      <c r="U54" s="274" t="s">
        <v>79</v>
      </c>
      <c r="V54" s="247" t="s">
        <v>59</v>
      </c>
      <c r="W54" s="247">
        <f>IF(ISNA(V54),VLOOKUP(E54,категория!A$182:E$197,3,),(2.09+R54*8.3333/категория!D$182))</f>
        <v>3.8261041666666662</v>
      </c>
    </row>
    <row r="55" spans="1:23" ht="15.75">
      <c r="A55" s="265">
        <v>43852.465277777781</v>
      </c>
      <c r="B55" s="265">
        <v>43852.479166666664</v>
      </c>
      <c r="C55" s="265"/>
      <c r="D55" s="275">
        <v>2.0833333333333332E-2</v>
      </c>
      <c r="E55" s="329" t="s">
        <v>34</v>
      </c>
      <c r="F55" s="330"/>
      <c r="G55" s="330"/>
      <c r="H55" s="330"/>
      <c r="I55" s="330"/>
      <c r="J55" s="330"/>
      <c r="K55" s="330"/>
      <c r="L55" s="330"/>
      <c r="M55" s="330"/>
      <c r="N55" s="330"/>
      <c r="O55" s="330"/>
      <c r="P55" s="330"/>
      <c r="Q55" s="330"/>
      <c r="R55" s="330"/>
      <c r="S55" s="330"/>
      <c r="T55" s="330"/>
      <c r="U55" s="331"/>
      <c r="V55" s="247" t="e">
        <f>VLOOKUP(E55,Лист4!A$3:G$499,7)</f>
        <v>#N/A</v>
      </c>
      <c r="W55" s="247">
        <f>IF(ISNA(V55),VLOOKUP(E55,категория!A$182:E$197,3,),(2.09+R55*8.3333/категория!D$182))</f>
        <v>3.48</v>
      </c>
    </row>
    <row r="56" spans="1:23" ht="15.75">
      <c r="A56" s="276">
        <v>43852.833333333336</v>
      </c>
      <c r="B56" s="332" t="s">
        <v>391</v>
      </c>
      <c r="C56" s="333"/>
      <c r="D56" s="334"/>
      <c r="E56" s="334"/>
      <c r="F56" s="334"/>
      <c r="G56" s="334"/>
      <c r="H56" s="334"/>
      <c r="I56" s="334"/>
      <c r="J56" s="334"/>
      <c r="K56" s="334"/>
      <c r="L56" s="334"/>
      <c r="M56" s="334"/>
      <c r="N56" s="334"/>
      <c r="O56" s="334"/>
      <c r="P56" s="334"/>
      <c r="Q56" s="334"/>
      <c r="R56" s="334"/>
      <c r="S56" s="334"/>
      <c r="T56" s="334"/>
      <c r="U56" s="335"/>
      <c r="V56" s="247" t="e">
        <f>VLOOKUP(E56,Лист4!A$3:G$499,7)</f>
        <v>#N/A</v>
      </c>
      <c r="W56" s="187">
        <f>SUM(W52:W55)</f>
        <v>17.736104166666667</v>
      </c>
    </row>
    <row r="57" spans="1:23" ht="15.75">
      <c r="A57" s="276">
        <v>43853.333333333336</v>
      </c>
      <c r="B57" s="332" t="s">
        <v>392</v>
      </c>
      <c r="C57" s="333"/>
      <c r="D57" s="334"/>
      <c r="E57" s="334"/>
      <c r="F57" s="334"/>
      <c r="G57" s="334"/>
      <c r="H57" s="334"/>
      <c r="I57" s="334"/>
      <c r="J57" s="334"/>
      <c r="K57" s="334"/>
      <c r="L57" s="334"/>
      <c r="M57" s="334"/>
      <c r="N57" s="334"/>
      <c r="O57" s="334"/>
      <c r="P57" s="334"/>
      <c r="Q57" s="334"/>
      <c r="R57" s="334"/>
      <c r="S57" s="334"/>
      <c r="T57" s="334"/>
      <c r="U57" s="335"/>
      <c r="V57" s="247" t="e">
        <f>VLOOKUP(E57,Лист4!A$3:G$499,7)</f>
        <v>#N/A</v>
      </c>
      <c r="W57" s="247" t="e">
        <f>IF(ISNA(V57),VLOOKUP(E57,категория!A$182:E$197,3,),(2.09+R57*8.3333/категория!D$182))</f>
        <v>#N/A</v>
      </c>
    </row>
    <row r="58" spans="1:23" ht="15.75">
      <c r="A58" s="276">
        <v>43853.833333333336</v>
      </c>
      <c r="B58" s="332" t="s">
        <v>393</v>
      </c>
      <c r="C58" s="333"/>
      <c r="D58" s="334"/>
      <c r="E58" s="334"/>
      <c r="F58" s="334"/>
      <c r="G58" s="334"/>
      <c r="H58" s="334"/>
      <c r="I58" s="334"/>
      <c r="J58" s="334"/>
      <c r="K58" s="334"/>
      <c r="L58" s="334"/>
      <c r="M58" s="334"/>
      <c r="N58" s="334"/>
      <c r="O58" s="334"/>
      <c r="P58" s="334"/>
      <c r="Q58" s="334"/>
      <c r="R58" s="334"/>
      <c r="S58" s="334"/>
      <c r="T58" s="334"/>
      <c r="U58" s="335"/>
      <c r="V58" s="247" t="e">
        <f>VLOOKUP(E58,Лист4!A$3:G$499,7)</f>
        <v>#N/A</v>
      </c>
      <c r="W58" s="247" t="e">
        <f>IF(ISNA(V58),VLOOKUP(E58,категория!A$182:E$197,3,),(2.09+R58*8.3333/категория!D$182))</f>
        <v>#N/A</v>
      </c>
    </row>
    <row r="59" spans="1:23" ht="15.75">
      <c r="A59" s="276">
        <v>43854.333333333336</v>
      </c>
      <c r="B59" s="332" t="s">
        <v>394</v>
      </c>
      <c r="C59" s="333"/>
      <c r="D59" s="334"/>
      <c r="E59" s="334"/>
      <c r="F59" s="334"/>
      <c r="G59" s="334"/>
      <c r="H59" s="334"/>
      <c r="I59" s="334"/>
      <c r="J59" s="334"/>
      <c r="K59" s="334"/>
      <c r="L59" s="334"/>
      <c r="M59" s="334"/>
      <c r="N59" s="334"/>
      <c r="O59" s="334"/>
      <c r="P59" s="334"/>
      <c r="Q59" s="334"/>
      <c r="R59" s="334"/>
      <c r="S59" s="334"/>
      <c r="T59" s="334"/>
      <c r="U59" s="335"/>
      <c r="V59" s="247" t="e">
        <f>VLOOKUP(E59,Лист4!A$3:G$499,7)</f>
        <v>#N/A</v>
      </c>
      <c r="W59" s="247" t="e">
        <f>IF(ISNA(V59),VLOOKUP(E59,категория!A$182:E$197,3,),(2.09+R59*8.3333/категория!D$182))</f>
        <v>#N/A</v>
      </c>
    </row>
    <row r="60" spans="1:23" ht="15.75">
      <c r="A60" s="265">
        <v>43854.395833333336</v>
      </c>
      <c r="B60" s="265">
        <v>43854.409722222219</v>
      </c>
      <c r="C60" s="265"/>
      <c r="D60" s="275">
        <v>0.3125</v>
      </c>
      <c r="E60" s="329" t="s">
        <v>32</v>
      </c>
      <c r="F60" s="330"/>
      <c r="G60" s="330"/>
      <c r="H60" s="330"/>
      <c r="I60" s="330"/>
      <c r="J60" s="330"/>
      <c r="K60" s="330"/>
      <c r="L60" s="330"/>
      <c r="M60" s="330"/>
      <c r="N60" s="330"/>
      <c r="O60" s="330"/>
      <c r="P60" s="330"/>
      <c r="Q60" s="330"/>
      <c r="R60" s="330"/>
      <c r="S60" s="330"/>
      <c r="T60" s="330"/>
      <c r="U60" s="331"/>
      <c r="V60" s="247" t="e">
        <f>VLOOKUP(E60,Лист4!A$3:G$499,7)</f>
        <v>#N/A</v>
      </c>
      <c r="W60" s="247">
        <f>IF(ISNA(V60),VLOOKUP(E60,категория!A$182:E$197,3,),(2.09+R60*8.3333/категория!D$182))</f>
        <v>6.26</v>
      </c>
    </row>
    <row r="61" spans="1:23" ht="15.75">
      <c r="A61" s="265">
        <v>43854.409722222219</v>
      </c>
      <c r="B61" s="265">
        <v>43854.427083333336</v>
      </c>
      <c r="C61" s="265"/>
      <c r="D61" s="275">
        <v>2.0833333333333332E-2</v>
      </c>
      <c r="E61" s="329" t="s">
        <v>8</v>
      </c>
      <c r="F61" s="330"/>
      <c r="G61" s="330"/>
      <c r="H61" s="330"/>
      <c r="I61" s="330"/>
      <c r="J61" s="330"/>
      <c r="K61" s="330"/>
      <c r="L61" s="330"/>
      <c r="M61" s="330"/>
      <c r="N61" s="330"/>
      <c r="O61" s="330"/>
      <c r="P61" s="330"/>
      <c r="Q61" s="330"/>
      <c r="R61" s="330"/>
      <c r="S61" s="330"/>
      <c r="T61" s="330"/>
      <c r="U61" s="331"/>
      <c r="V61" s="247" t="e">
        <f>VLOOKUP(E61,Лист4!A$3:G$499,7)</f>
        <v>#N/A</v>
      </c>
      <c r="W61" s="247">
        <f>IF(ISNA(V61),VLOOKUP(E61,категория!A$182:E$197,3,),(2.09+R61*8.3333/категория!D$182))</f>
        <v>4.17</v>
      </c>
    </row>
    <row r="62" spans="1:23" ht="84">
      <c r="A62" s="265">
        <v>43854.427083333336</v>
      </c>
      <c r="B62" s="265">
        <v>43854.4375</v>
      </c>
      <c r="C62" s="265"/>
      <c r="D62" s="275">
        <v>1.0416666666666666E-2</v>
      </c>
      <c r="E62" s="266">
        <v>207</v>
      </c>
      <c r="F62" s="267" t="s">
        <v>275</v>
      </c>
      <c r="G62" s="267" t="s">
        <v>395</v>
      </c>
      <c r="H62" s="268" t="s">
        <v>289</v>
      </c>
      <c r="I62" s="269">
        <v>43854.75</v>
      </c>
      <c r="J62" s="270"/>
      <c r="K62" s="266" t="s">
        <v>256</v>
      </c>
      <c r="L62" s="271"/>
      <c r="M62" s="272"/>
      <c r="N62" s="267" t="s">
        <v>38</v>
      </c>
      <c r="O62" s="266">
        <v>80</v>
      </c>
      <c r="P62" s="266" t="s">
        <v>236</v>
      </c>
      <c r="Q62" s="273" t="s">
        <v>241</v>
      </c>
      <c r="R62" s="274">
        <v>100</v>
      </c>
      <c r="S62" s="274">
        <v>162</v>
      </c>
      <c r="T62" s="270"/>
      <c r="U62" s="274" t="s">
        <v>79</v>
      </c>
      <c r="V62" s="247" t="str">
        <f>VLOOKUP(E62,Лист4!A$3:G$499,7)</f>
        <v>практика ч/б</v>
      </c>
      <c r="W62" s="247">
        <f>IF(ISNA(V62),VLOOKUP(E62,категория!A$182:E$197,3,),(2.09+R62*8.3333/категория!D$182))</f>
        <v>2.3677766666666664</v>
      </c>
    </row>
    <row r="63" spans="1:23" ht="84">
      <c r="A63" s="265">
        <v>43854.4375</v>
      </c>
      <c r="B63" s="265">
        <v>43854.583333333336</v>
      </c>
      <c r="C63" s="265"/>
      <c r="D63" s="275">
        <v>0.14583333333333334</v>
      </c>
      <c r="E63" s="266">
        <v>175</v>
      </c>
      <c r="F63" s="267" t="s">
        <v>250</v>
      </c>
      <c r="G63" s="267" t="s">
        <v>296</v>
      </c>
      <c r="H63" s="268" t="s">
        <v>252</v>
      </c>
      <c r="I63" s="269">
        <v>43858</v>
      </c>
      <c r="J63" s="270"/>
      <c r="K63" s="266" t="s">
        <v>256</v>
      </c>
      <c r="L63" s="271"/>
      <c r="M63" s="272"/>
      <c r="N63" s="267" t="s">
        <v>285</v>
      </c>
      <c r="O63" s="266">
        <v>60</v>
      </c>
      <c r="P63" s="266" t="s">
        <v>297</v>
      </c>
      <c r="Q63" s="273" t="s">
        <v>229</v>
      </c>
      <c r="R63" s="274">
        <v>12150</v>
      </c>
      <c r="S63" s="274">
        <v>12750</v>
      </c>
      <c r="T63" s="270"/>
      <c r="U63" s="274" t="s">
        <v>79</v>
      </c>
      <c r="V63" s="247" t="str">
        <f>VLOOKUP(E63,Лист4!A$3:G$499,7)</f>
        <v>практика ч/б</v>
      </c>
      <c r="W63" s="247">
        <f>IF(ISNA(V63),VLOOKUP(E63,категория!A$182:E$197,3,),(2.09+R63*8.3333/категория!D$182))</f>
        <v>35.839864999999989</v>
      </c>
    </row>
    <row r="64" spans="1:23" ht="15.75">
      <c r="A64" s="265">
        <v>43854.583333333336</v>
      </c>
      <c r="B64" s="265">
        <v>43854.604166666664</v>
      </c>
      <c r="C64" s="265"/>
      <c r="D64" s="275">
        <v>2.0833333333333332E-2</v>
      </c>
      <c r="E64" s="329" t="s">
        <v>23</v>
      </c>
      <c r="F64" s="330"/>
      <c r="G64" s="330"/>
      <c r="H64" s="330"/>
      <c r="I64" s="330"/>
      <c r="J64" s="330"/>
      <c r="K64" s="330"/>
      <c r="L64" s="330"/>
      <c r="M64" s="330"/>
      <c r="N64" s="330"/>
      <c r="O64" s="330"/>
      <c r="P64" s="330"/>
      <c r="Q64" s="330"/>
      <c r="R64" s="330"/>
      <c r="S64" s="330"/>
      <c r="T64" s="330"/>
      <c r="U64" s="331"/>
      <c r="V64" s="247" t="e">
        <f>VLOOKUP(E64,Лист4!A$3:G$499,7)</f>
        <v>#N/A</v>
      </c>
      <c r="W64" s="247">
        <f>IF(ISNA(V64),VLOOKUP(E64,категория!A$182:E$197,3,),(2.09+R64*8.3333/категория!D$182))</f>
        <v>2.78</v>
      </c>
    </row>
    <row r="65" spans="1:23" ht="84">
      <c r="A65" s="265">
        <v>43854.604166666664</v>
      </c>
      <c r="B65" s="265">
        <v>43854.729166666664</v>
      </c>
      <c r="C65" s="265"/>
      <c r="D65" s="275">
        <v>0.125</v>
      </c>
      <c r="E65" s="266">
        <v>175</v>
      </c>
      <c r="F65" s="267" t="s">
        <v>250</v>
      </c>
      <c r="G65" s="267" t="s">
        <v>296</v>
      </c>
      <c r="H65" s="268" t="s">
        <v>251</v>
      </c>
      <c r="I65" s="269">
        <v>43858</v>
      </c>
      <c r="J65" s="270"/>
      <c r="K65" s="266" t="s">
        <v>266</v>
      </c>
      <c r="L65" s="271"/>
      <c r="M65" s="272"/>
      <c r="N65" s="267" t="s">
        <v>285</v>
      </c>
      <c r="O65" s="266">
        <v>60</v>
      </c>
      <c r="P65" s="266" t="s">
        <v>297</v>
      </c>
      <c r="Q65" s="273" t="s">
        <v>229</v>
      </c>
      <c r="R65" s="274">
        <v>12150</v>
      </c>
      <c r="S65" s="274">
        <v>12750</v>
      </c>
      <c r="T65" s="270"/>
      <c r="U65" s="274" t="s">
        <v>79</v>
      </c>
      <c r="V65" s="247" t="str">
        <f>VLOOKUP(E65,Лист4!A$3:G$499,7)</f>
        <v>практика ч/б</v>
      </c>
      <c r="W65" s="247">
        <f>IF(ISNA(V65),VLOOKUP(E65,категория!A$182:E$197,3,),(2.09+R65*8.3333/категория!D$182))</f>
        <v>35.839864999999989</v>
      </c>
    </row>
    <row r="66" spans="1:23" ht="15.75">
      <c r="A66" s="265">
        <v>43854.729166666664</v>
      </c>
      <c r="B66" s="265">
        <v>43854.75</v>
      </c>
      <c r="C66" s="265"/>
      <c r="D66" s="275">
        <v>2.0833333333333332E-2</v>
      </c>
      <c r="E66" s="329" t="s">
        <v>34</v>
      </c>
      <c r="F66" s="330"/>
      <c r="G66" s="330"/>
      <c r="H66" s="330"/>
      <c r="I66" s="330"/>
      <c r="J66" s="330"/>
      <c r="K66" s="330"/>
      <c r="L66" s="330"/>
      <c r="M66" s="330"/>
      <c r="N66" s="330"/>
      <c r="O66" s="330"/>
      <c r="P66" s="330"/>
      <c r="Q66" s="330"/>
      <c r="R66" s="330"/>
      <c r="S66" s="330"/>
      <c r="T66" s="330"/>
      <c r="U66" s="331"/>
      <c r="V66" s="247" t="e">
        <f>VLOOKUP(E66,Лист4!A$3:G$499,7)</f>
        <v>#N/A</v>
      </c>
      <c r="W66" s="247">
        <f>IF(ISNA(V66),VLOOKUP(E66,категория!A$182:E$197,3,),(2.09+R66*8.3333/категория!D$182))</f>
        <v>3.48</v>
      </c>
    </row>
    <row r="67" spans="1:23" ht="15.75">
      <c r="A67" s="265">
        <v>43854.75</v>
      </c>
      <c r="B67" s="265">
        <v>43854.770833333336</v>
      </c>
      <c r="C67" s="265"/>
      <c r="D67" s="275">
        <v>2.0833333333333332E-2</v>
      </c>
      <c r="E67" s="329" t="s">
        <v>2</v>
      </c>
      <c r="F67" s="330"/>
      <c r="G67" s="330"/>
      <c r="H67" s="330"/>
      <c r="I67" s="330"/>
      <c r="J67" s="330"/>
      <c r="K67" s="330"/>
      <c r="L67" s="330"/>
      <c r="M67" s="330"/>
      <c r="N67" s="330"/>
      <c r="O67" s="330"/>
      <c r="P67" s="330"/>
      <c r="Q67" s="330"/>
      <c r="R67" s="330"/>
      <c r="S67" s="330"/>
      <c r="T67" s="330"/>
      <c r="U67" s="331"/>
      <c r="V67" s="247" t="e">
        <f>VLOOKUP(E67,Лист4!A$3:G$499,7)</f>
        <v>#N/A</v>
      </c>
      <c r="W67" s="247">
        <f>IF(ISNA(V67),VLOOKUP(E67,категория!A$182:E$197,3,),(2.09+R67*8.3333/категория!D$182))</f>
        <v>4.17</v>
      </c>
    </row>
    <row r="68" spans="1:23" ht="15.75">
      <c r="A68" s="231"/>
      <c r="B68" s="231"/>
      <c r="C68" s="231"/>
      <c r="D68" s="241"/>
      <c r="E68" s="329"/>
      <c r="F68" s="330"/>
      <c r="G68" s="330"/>
      <c r="H68" s="330"/>
      <c r="I68" s="330"/>
      <c r="J68" s="330"/>
      <c r="K68" s="330"/>
      <c r="L68" s="330"/>
      <c r="M68" s="330"/>
      <c r="N68" s="330"/>
      <c r="O68" s="330"/>
      <c r="P68" s="330"/>
      <c r="Q68" s="330"/>
      <c r="R68" s="330"/>
      <c r="S68" s="330"/>
      <c r="T68" s="330"/>
      <c r="U68" s="331"/>
      <c r="V68" s="186"/>
      <c r="W68" s="187">
        <f>SUM(W60:W67)</f>
        <v>94.907506666666649</v>
      </c>
    </row>
    <row r="69" spans="1:23" ht="15.75">
      <c r="A69" s="231"/>
      <c r="B69" s="231"/>
      <c r="C69" s="231"/>
      <c r="D69" s="241"/>
      <c r="E69" s="329"/>
      <c r="F69" s="330"/>
      <c r="G69" s="330"/>
      <c r="H69" s="330"/>
      <c r="I69" s="330"/>
      <c r="J69" s="330"/>
      <c r="K69" s="330"/>
      <c r="L69" s="330"/>
      <c r="M69" s="330"/>
      <c r="N69" s="330"/>
      <c r="O69" s="330"/>
      <c r="P69" s="330"/>
      <c r="Q69" s="330"/>
      <c r="R69" s="330"/>
      <c r="S69" s="330"/>
      <c r="T69" s="330"/>
      <c r="U69" s="331"/>
      <c r="V69" s="186"/>
      <c r="W69" s="247"/>
    </row>
    <row r="70" spans="1:23" ht="15.75">
      <c r="A70" s="231"/>
      <c r="B70" s="231"/>
      <c r="C70" s="231"/>
      <c r="D70" s="241"/>
      <c r="E70" s="329"/>
      <c r="F70" s="330"/>
      <c r="G70" s="330"/>
      <c r="H70" s="330"/>
      <c r="I70" s="330"/>
      <c r="J70" s="330"/>
      <c r="K70" s="330"/>
      <c r="L70" s="330"/>
      <c r="M70" s="330"/>
      <c r="N70" s="330"/>
      <c r="O70" s="330"/>
      <c r="P70" s="330"/>
      <c r="Q70" s="330"/>
      <c r="R70" s="330"/>
      <c r="S70" s="330"/>
      <c r="T70" s="330"/>
      <c r="U70" s="331"/>
      <c r="V70" s="186"/>
      <c r="W70" s="247"/>
    </row>
    <row r="71" spans="1:23">
      <c r="A71" s="231"/>
      <c r="B71" s="231"/>
      <c r="C71" s="231"/>
      <c r="D71" s="241"/>
      <c r="E71" s="232"/>
      <c r="F71" s="233"/>
      <c r="G71" s="233"/>
      <c r="H71" s="234"/>
      <c r="I71" s="235"/>
      <c r="J71" s="236"/>
      <c r="K71" s="232"/>
      <c r="L71" s="237"/>
      <c r="M71" s="238"/>
      <c r="N71" s="233"/>
      <c r="O71" s="232"/>
      <c r="P71" s="232"/>
      <c r="Q71" s="239"/>
      <c r="R71" s="240"/>
      <c r="S71" s="240"/>
      <c r="T71" s="236"/>
      <c r="U71" s="240"/>
      <c r="V71" s="186"/>
      <c r="W71" s="186"/>
    </row>
    <row r="72" spans="1:23" ht="15.75">
      <c r="A72" s="231"/>
      <c r="B72" s="231"/>
      <c r="C72" s="231"/>
      <c r="D72" s="241"/>
      <c r="E72" s="329"/>
      <c r="F72" s="330"/>
      <c r="G72" s="330"/>
      <c r="H72" s="330"/>
      <c r="I72" s="330"/>
      <c r="J72" s="330"/>
      <c r="K72" s="330"/>
      <c r="L72" s="330"/>
      <c r="M72" s="330"/>
      <c r="N72" s="330"/>
      <c r="O72" s="330"/>
      <c r="P72" s="330"/>
      <c r="Q72" s="330"/>
      <c r="R72" s="330"/>
      <c r="S72" s="330"/>
      <c r="T72" s="330"/>
      <c r="U72" s="331"/>
      <c r="V72" s="186"/>
      <c r="W72" s="186"/>
    </row>
    <row r="73" spans="1:23" ht="15.75">
      <c r="A73" s="231"/>
      <c r="B73" s="231"/>
      <c r="C73" s="231"/>
      <c r="D73" s="241"/>
      <c r="E73" s="329"/>
      <c r="F73" s="330"/>
      <c r="G73" s="330"/>
      <c r="H73" s="330"/>
      <c r="I73" s="330"/>
      <c r="J73" s="330"/>
      <c r="K73" s="330"/>
      <c r="L73" s="330"/>
      <c r="M73" s="330"/>
      <c r="N73" s="330"/>
      <c r="O73" s="330"/>
      <c r="P73" s="330"/>
      <c r="Q73" s="330"/>
      <c r="R73" s="330"/>
      <c r="S73" s="330"/>
      <c r="T73" s="330"/>
      <c r="U73" s="331"/>
      <c r="V73" s="186"/>
      <c r="W73" s="186"/>
    </row>
    <row r="74" spans="1:23" ht="15.75">
      <c r="A74" s="242"/>
      <c r="B74" s="332"/>
      <c r="C74" s="333"/>
      <c r="D74" s="334"/>
      <c r="E74" s="334"/>
      <c r="F74" s="334"/>
      <c r="G74" s="334"/>
      <c r="H74" s="334"/>
      <c r="I74" s="334"/>
      <c r="J74" s="334"/>
      <c r="K74" s="334"/>
      <c r="L74" s="334"/>
      <c r="M74" s="334"/>
      <c r="N74" s="334"/>
      <c r="O74" s="334"/>
      <c r="P74" s="334"/>
      <c r="Q74" s="334"/>
      <c r="R74" s="334"/>
      <c r="S74" s="334"/>
      <c r="T74" s="334"/>
      <c r="U74" s="335"/>
      <c r="V74" s="186"/>
      <c r="W74" s="52"/>
    </row>
    <row r="75" spans="1:23" ht="15.75">
      <c r="A75" s="242"/>
      <c r="B75" s="332"/>
      <c r="C75" s="333"/>
      <c r="D75" s="334"/>
      <c r="E75" s="334"/>
      <c r="F75" s="334"/>
      <c r="G75" s="334"/>
      <c r="H75" s="334"/>
      <c r="I75" s="334"/>
      <c r="J75" s="334"/>
      <c r="K75" s="334"/>
      <c r="L75" s="334"/>
      <c r="M75" s="334"/>
      <c r="N75" s="334"/>
      <c r="O75" s="334"/>
      <c r="P75" s="334"/>
      <c r="Q75" s="334"/>
      <c r="R75" s="334"/>
      <c r="S75" s="334"/>
      <c r="T75" s="334"/>
      <c r="U75" s="335"/>
      <c r="V75" s="186"/>
      <c r="W75" s="186"/>
    </row>
    <row r="76" spans="1:23" ht="15.75">
      <c r="A76" s="231"/>
      <c r="B76" s="231"/>
      <c r="C76" s="231"/>
      <c r="D76" s="241"/>
      <c r="E76" s="329"/>
      <c r="F76" s="330"/>
      <c r="G76" s="330"/>
      <c r="H76" s="330"/>
      <c r="I76" s="330"/>
      <c r="J76" s="330"/>
      <c r="K76" s="330"/>
      <c r="L76" s="330"/>
      <c r="M76" s="330"/>
      <c r="N76" s="330"/>
      <c r="O76" s="330"/>
      <c r="P76" s="330"/>
      <c r="Q76" s="330"/>
      <c r="R76" s="330"/>
      <c r="S76" s="330"/>
      <c r="T76" s="330"/>
      <c r="U76" s="331"/>
      <c r="V76" s="186"/>
      <c r="W76" s="186"/>
    </row>
    <row r="77" spans="1:23" ht="15.75">
      <c r="A77" s="231"/>
      <c r="B77" s="231"/>
      <c r="C77" s="231"/>
      <c r="D77" s="241"/>
      <c r="E77" s="329"/>
      <c r="F77" s="330"/>
      <c r="G77" s="330"/>
      <c r="H77" s="330"/>
      <c r="I77" s="330"/>
      <c r="J77" s="330"/>
      <c r="K77" s="330"/>
      <c r="L77" s="330"/>
      <c r="M77" s="330"/>
      <c r="N77" s="330"/>
      <c r="O77" s="330"/>
      <c r="P77" s="330"/>
      <c r="Q77" s="330"/>
      <c r="R77" s="330"/>
      <c r="S77" s="330"/>
      <c r="T77" s="330"/>
      <c r="U77" s="331"/>
      <c r="V77" s="186"/>
      <c r="W77" s="186"/>
    </row>
    <row r="78" spans="1:23" ht="15.75">
      <c r="A78" s="231"/>
      <c r="B78" s="231"/>
      <c r="C78" s="231"/>
      <c r="D78" s="241"/>
      <c r="E78" s="329"/>
      <c r="F78" s="330"/>
      <c r="G78" s="330"/>
      <c r="H78" s="330"/>
      <c r="I78" s="330"/>
      <c r="J78" s="330"/>
      <c r="K78" s="330"/>
      <c r="L78" s="330"/>
      <c r="M78" s="330"/>
      <c r="N78" s="330"/>
      <c r="O78" s="330"/>
      <c r="P78" s="330"/>
      <c r="Q78" s="330"/>
      <c r="R78" s="330"/>
      <c r="S78" s="330"/>
      <c r="T78" s="330"/>
      <c r="U78" s="331"/>
      <c r="V78" s="186"/>
      <c r="W78" s="186"/>
    </row>
    <row r="79" spans="1:23">
      <c r="A79" s="336"/>
      <c r="B79" s="336"/>
      <c r="C79" s="243"/>
      <c r="D79" s="338"/>
      <c r="E79" s="340"/>
      <c r="F79" s="233"/>
      <c r="G79" s="233"/>
      <c r="H79" s="234"/>
      <c r="I79" s="235"/>
      <c r="J79" s="236"/>
      <c r="K79" s="232"/>
      <c r="L79" s="237"/>
      <c r="M79" s="238"/>
      <c r="N79" s="233"/>
      <c r="O79" s="232"/>
      <c r="P79" s="232"/>
      <c r="Q79" s="239"/>
      <c r="R79" s="240"/>
      <c r="S79" s="240"/>
      <c r="T79" s="236"/>
      <c r="U79" s="240"/>
      <c r="V79" s="186"/>
      <c r="W79" s="186"/>
    </row>
    <row r="80" spans="1:23">
      <c r="A80" s="337"/>
      <c r="B80" s="337"/>
      <c r="C80" s="244"/>
      <c r="D80" s="339"/>
      <c r="E80" s="341"/>
      <c r="F80" s="342"/>
      <c r="G80" s="343"/>
      <c r="H80" s="343"/>
      <c r="I80" s="343"/>
      <c r="J80" s="343"/>
      <c r="K80" s="343"/>
      <c r="L80" s="343"/>
      <c r="M80" s="343"/>
      <c r="N80" s="343"/>
      <c r="O80" s="343"/>
      <c r="P80" s="343"/>
      <c r="Q80" s="343"/>
      <c r="R80" s="343"/>
      <c r="S80" s="343"/>
      <c r="T80" s="343"/>
      <c r="U80" s="344"/>
      <c r="V80" s="186"/>
      <c r="W80" s="186"/>
    </row>
    <row r="81" spans="1:23" ht="15.75">
      <c r="A81" s="231"/>
      <c r="B81" s="231"/>
      <c r="C81" s="231"/>
      <c r="D81" s="241"/>
      <c r="E81" s="329"/>
      <c r="F81" s="330"/>
      <c r="G81" s="330"/>
      <c r="H81" s="330"/>
      <c r="I81" s="330"/>
      <c r="J81" s="330"/>
      <c r="K81" s="330"/>
      <c r="L81" s="330"/>
      <c r="M81" s="330"/>
      <c r="N81" s="330"/>
      <c r="O81" s="330"/>
      <c r="P81" s="330"/>
      <c r="Q81" s="330"/>
      <c r="R81" s="330"/>
      <c r="S81" s="330"/>
      <c r="T81" s="330"/>
      <c r="U81" s="331"/>
      <c r="V81" s="186"/>
      <c r="W81" s="186"/>
    </row>
    <row r="82" spans="1:23" ht="15.75">
      <c r="A82" s="231"/>
      <c r="B82" s="231"/>
      <c r="C82" s="231"/>
      <c r="D82" s="241"/>
      <c r="E82" s="329"/>
      <c r="F82" s="330"/>
      <c r="G82" s="330"/>
      <c r="H82" s="330"/>
      <c r="I82" s="330"/>
      <c r="J82" s="330"/>
      <c r="K82" s="330"/>
      <c r="L82" s="330"/>
      <c r="M82" s="330"/>
      <c r="N82" s="330"/>
      <c r="O82" s="330"/>
      <c r="P82" s="330"/>
      <c r="Q82" s="330"/>
      <c r="R82" s="330"/>
      <c r="S82" s="330"/>
      <c r="T82" s="330"/>
      <c r="U82" s="331"/>
      <c r="V82" s="186"/>
      <c r="W82" s="186"/>
    </row>
    <row r="83" spans="1:23">
      <c r="A83" s="231"/>
      <c r="B83" s="231"/>
      <c r="C83" s="231"/>
      <c r="D83" s="241"/>
      <c r="E83" s="232"/>
      <c r="F83" s="233"/>
      <c r="G83" s="233"/>
      <c r="H83" s="234"/>
      <c r="I83" s="235"/>
      <c r="J83" s="236"/>
      <c r="K83" s="232"/>
      <c r="L83" s="237"/>
      <c r="M83" s="238"/>
      <c r="N83" s="233"/>
      <c r="O83" s="232"/>
      <c r="P83" s="232"/>
      <c r="Q83" s="239"/>
      <c r="R83" s="240"/>
      <c r="S83" s="240"/>
      <c r="T83" s="236"/>
      <c r="U83" s="240"/>
      <c r="V83" s="186"/>
      <c r="W83" s="186"/>
    </row>
    <row r="84" spans="1:23" ht="15.75">
      <c r="A84" s="231"/>
      <c r="B84" s="231"/>
      <c r="C84" s="231"/>
      <c r="D84" s="241"/>
      <c r="E84" s="329"/>
      <c r="F84" s="330"/>
      <c r="G84" s="330"/>
      <c r="H84" s="330"/>
      <c r="I84" s="330"/>
      <c r="J84" s="330"/>
      <c r="K84" s="330"/>
      <c r="L84" s="330"/>
      <c r="M84" s="330"/>
      <c r="N84" s="330"/>
      <c r="O84" s="330"/>
      <c r="P84" s="330"/>
      <c r="Q84" s="330"/>
      <c r="R84" s="330"/>
      <c r="S84" s="330"/>
      <c r="T84" s="330"/>
      <c r="U84" s="331"/>
      <c r="V84" s="186"/>
      <c r="W84" s="186"/>
    </row>
    <row r="85" spans="1:23">
      <c r="A85" s="231"/>
      <c r="B85" s="231"/>
      <c r="C85" s="231"/>
      <c r="D85" s="241"/>
      <c r="E85" s="232"/>
      <c r="F85" s="233"/>
      <c r="G85" s="233"/>
      <c r="H85" s="234"/>
      <c r="I85" s="235"/>
      <c r="J85" s="236"/>
      <c r="K85" s="232"/>
      <c r="L85" s="237"/>
      <c r="M85" s="238"/>
      <c r="N85" s="233"/>
      <c r="O85" s="232"/>
      <c r="P85" s="232"/>
      <c r="Q85" s="239"/>
      <c r="R85" s="240"/>
      <c r="S85" s="240"/>
      <c r="T85" s="236"/>
      <c r="U85" s="240"/>
      <c r="V85" s="186"/>
      <c r="W85" s="186"/>
    </row>
    <row r="86" spans="1:23">
      <c r="A86" s="231"/>
      <c r="B86" s="231"/>
      <c r="C86" s="231"/>
      <c r="D86" s="241"/>
      <c r="E86" s="232"/>
      <c r="F86" s="233"/>
      <c r="G86" s="233"/>
      <c r="H86" s="234"/>
      <c r="I86" s="235"/>
      <c r="J86" s="236"/>
      <c r="K86" s="232"/>
      <c r="L86" s="237"/>
      <c r="M86" s="238"/>
      <c r="N86" s="233"/>
      <c r="O86" s="232"/>
      <c r="P86" s="232"/>
      <c r="Q86" s="239"/>
      <c r="R86" s="240"/>
      <c r="S86" s="240"/>
      <c r="T86" s="236"/>
      <c r="U86" s="240"/>
      <c r="V86" s="186"/>
      <c r="W86" s="186"/>
    </row>
    <row r="87" spans="1:23" ht="15.75">
      <c r="A87" s="231"/>
      <c r="B87" s="231"/>
      <c r="C87" s="231"/>
      <c r="D87" s="241"/>
      <c r="E87" s="329"/>
      <c r="F87" s="330"/>
      <c r="G87" s="330"/>
      <c r="H87" s="330"/>
      <c r="I87" s="330"/>
      <c r="J87" s="330"/>
      <c r="K87" s="330"/>
      <c r="L87" s="330"/>
      <c r="M87" s="330"/>
      <c r="N87" s="330"/>
      <c r="O87" s="330"/>
      <c r="P87" s="330"/>
      <c r="Q87" s="330"/>
      <c r="R87" s="330"/>
      <c r="S87" s="330"/>
      <c r="T87" s="330"/>
      <c r="U87" s="331"/>
      <c r="V87" s="186"/>
      <c r="W87" s="52"/>
    </row>
    <row r="88" spans="1:23" ht="15.75">
      <c r="A88" s="242"/>
      <c r="B88" s="332"/>
      <c r="C88" s="333"/>
      <c r="D88" s="334"/>
      <c r="E88" s="334"/>
      <c r="F88" s="334"/>
      <c r="G88" s="334"/>
      <c r="H88" s="334"/>
      <c r="I88" s="334"/>
      <c r="J88" s="334"/>
      <c r="K88" s="334"/>
      <c r="L88" s="334"/>
      <c r="M88" s="334"/>
      <c r="N88" s="334"/>
      <c r="O88" s="334"/>
      <c r="P88" s="334"/>
      <c r="Q88" s="334"/>
      <c r="R88" s="334"/>
      <c r="S88" s="334"/>
      <c r="T88" s="334"/>
      <c r="U88" s="335"/>
      <c r="V88" s="186"/>
      <c r="W88" s="186"/>
    </row>
    <row r="89" spans="1:23" ht="15.75">
      <c r="A89" s="242"/>
      <c r="B89" s="332"/>
      <c r="C89" s="333"/>
      <c r="D89" s="334"/>
      <c r="E89" s="334"/>
      <c r="F89" s="334"/>
      <c r="G89" s="334"/>
      <c r="H89" s="334"/>
      <c r="I89" s="334"/>
      <c r="J89" s="334"/>
      <c r="K89" s="334"/>
      <c r="L89" s="334"/>
      <c r="M89" s="334"/>
      <c r="N89" s="334"/>
      <c r="O89" s="334"/>
      <c r="P89" s="334"/>
      <c r="Q89" s="334"/>
      <c r="R89" s="334"/>
      <c r="S89" s="334"/>
      <c r="T89" s="334"/>
      <c r="U89" s="335"/>
      <c r="V89" s="186"/>
      <c r="W89" s="186"/>
    </row>
    <row r="90" spans="1:23" ht="15.75">
      <c r="A90" s="231"/>
      <c r="B90" s="231"/>
      <c r="C90" s="231"/>
      <c r="D90" s="241"/>
      <c r="E90" s="329"/>
      <c r="F90" s="330"/>
      <c r="G90" s="330"/>
      <c r="H90" s="330"/>
      <c r="I90" s="330"/>
      <c r="J90" s="330"/>
      <c r="K90" s="330"/>
      <c r="L90" s="330"/>
      <c r="M90" s="330"/>
      <c r="N90" s="330"/>
      <c r="O90" s="330"/>
      <c r="P90" s="330"/>
      <c r="Q90" s="330"/>
      <c r="R90" s="330"/>
      <c r="S90" s="330"/>
      <c r="T90" s="330"/>
      <c r="U90" s="331"/>
      <c r="V90" s="186"/>
      <c r="W90" s="186"/>
    </row>
    <row r="91" spans="1:23" ht="15.75">
      <c r="A91" s="231"/>
      <c r="B91" s="231"/>
      <c r="C91" s="231"/>
      <c r="D91" s="241"/>
      <c r="E91" s="329"/>
      <c r="F91" s="330"/>
      <c r="G91" s="330"/>
      <c r="H91" s="330"/>
      <c r="I91" s="330"/>
      <c r="J91" s="330"/>
      <c r="K91" s="330"/>
      <c r="L91" s="330"/>
      <c r="M91" s="330"/>
      <c r="N91" s="330"/>
      <c r="O91" s="330"/>
      <c r="P91" s="330"/>
      <c r="Q91" s="330"/>
      <c r="R91" s="330"/>
      <c r="S91" s="330"/>
      <c r="T91" s="330"/>
      <c r="U91" s="331"/>
      <c r="V91" s="186"/>
      <c r="W91" s="186"/>
    </row>
    <row r="92" spans="1:23">
      <c r="A92" s="231"/>
      <c r="B92" s="231"/>
      <c r="C92" s="231"/>
      <c r="D92" s="241"/>
      <c r="E92" s="232"/>
      <c r="F92" s="233"/>
      <c r="G92" s="233"/>
      <c r="H92" s="234"/>
      <c r="I92" s="235"/>
      <c r="J92" s="236"/>
      <c r="K92" s="232"/>
      <c r="L92" s="237"/>
      <c r="M92" s="238"/>
      <c r="N92" s="233"/>
      <c r="O92" s="232"/>
      <c r="P92" s="232"/>
      <c r="Q92" s="239"/>
      <c r="R92" s="240"/>
      <c r="S92" s="240"/>
      <c r="T92" s="236"/>
      <c r="U92" s="240"/>
      <c r="V92" s="186"/>
      <c r="W92" s="186"/>
    </row>
    <row r="93" spans="1:23">
      <c r="A93" s="231"/>
      <c r="B93" s="231"/>
      <c r="C93" s="231"/>
      <c r="D93" s="241"/>
      <c r="E93" s="232"/>
      <c r="F93" s="233"/>
      <c r="G93" s="233"/>
      <c r="H93" s="234"/>
      <c r="I93" s="235"/>
      <c r="J93" s="236"/>
      <c r="K93" s="232"/>
      <c r="L93" s="237"/>
      <c r="M93" s="238"/>
      <c r="N93" s="233"/>
      <c r="O93" s="232"/>
      <c r="P93" s="232"/>
      <c r="Q93" s="239"/>
      <c r="R93" s="240"/>
      <c r="S93" s="240"/>
      <c r="T93" s="236"/>
      <c r="U93" s="240"/>
      <c r="V93" s="186"/>
      <c r="W93" s="186"/>
    </row>
    <row r="94" spans="1:23">
      <c r="A94" s="231"/>
      <c r="B94" s="231"/>
      <c r="C94" s="231"/>
      <c r="D94" s="241"/>
      <c r="E94" s="232"/>
      <c r="F94" s="233"/>
      <c r="G94" s="233"/>
      <c r="H94" s="234"/>
      <c r="I94" s="235"/>
      <c r="J94" s="236"/>
      <c r="K94" s="232"/>
      <c r="L94" s="237"/>
      <c r="M94" s="238"/>
      <c r="N94" s="233"/>
      <c r="O94" s="232"/>
      <c r="P94" s="232"/>
      <c r="Q94" s="239"/>
      <c r="R94" s="240"/>
      <c r="S94" s="240"/>
      <c r="T94" s="236"/>
      <c r="U94" s="240"/>
      <c r="V94" s="186"/>
      <c r="W94" s="186"/>
    </row>
    <row r="95" spans="1:23" ht="15.75">
      <c r="A95" s="231"/>
      <c r="B95" s="231"/>
      <c r="C95" s="231"/>
      <c r="D95" s="241"/>
      <c r="E95" s="329"/>
      <c r="F95" s="330"/>
      <c r="G95" s="330"/>
      <c r="H95" s="330"/>
      <c r="I95" s="330"/>
      <c r="J95" s="330"/>
      <c r="K95" s="330"/>
      <c r="L95" s="330"/>
      <c r="M95" s="330"/>
      <c r="N95" s="330"/>
      <c r="O95" s="330"/>
      <c r="P95" s="330"/>
      <c r="Q95" s="330"/>
      <c r="R95" s="330"/>
      <c r="S95" s="330"/>
      <c r="T95" s="330"/>
      <c r="U95" s="331"/>
      <c r="V95" s="186"/>
      <c r="W95" s="186"/>
    </row>
    <row r="96" spans="1:23" ht="15.75">
      <c r="A96" s="231"/>
      <c r="B96" s="231"/>
      <c r="C96" s="231"/>
      <c r="D96" s="241"/>
      <c r="E96" s="329"/>
      <c r="F96" s="330"/>
      <c r="G96" s="330"/>
      <c r="H96" s="330"/>
      <c r="I96" s="330"/>
      <c r="J96" s="330"/>
      <c r="K96" s="330"/>
      <c r="L96" s="330"/>
      <c r="M96" s="330"/>
      <c r="N96" s="330"/>
      <c r="O96" s="330"/>
      <c r="P96" s="330"/>
      <c r="Q96" s="330"/>
      <c r="R96" s="330"/>
      <c r="S96" s="330"/>
      <c r="T96" s="330"/>
      <c r="U96" s="331"/>
      <c r="V96" s="186"/>
      <c r="W96" s="186"/>
    </row>
    <row r="97" spans="1:23">
      <c r="A97" s="336"/>
      <c r="B97" s="336"/>
      <c r="C97" s="243"/>
      <c r="D97" s="338"/>
      <c r="E97" s="340"/>
      <c r="F97" s="233"/>
      <c r="G97" s="233"/>
      <c r="H97" s="234"/>
      <c r="I97" s="235"/>
      <c r="J97" s="236"/>
      <c r="K97" s="232"/>
      <c r="L97" s="237"/>
      <c r="M97" s="238"/>
      <c r="N97" s="233"/>
      <c r="O97" s="232"/>
      <c r="P97" s="232"/>
      <c r="Q97" s="239"/>
      <c r="R97" s="240"/>
      <c r="S97" s="240"/>
      <c r="T97" s="236"/>
      <c r="U97" s="240"/>
      <c r="V97" s="186"/>
      <c r="W97" s="186"/>
    </row>
    <row r="98" spans="1:23">
      <c r="A98" s="337"/>
      <c r="B98" s="337"/>
      <c r="C98" s="244"/>
      <c r="D98" s="339"/>
      <c r="E98" s="341"/>
      <c r="F98" s="342"/>
      <c r="G98" s="343"/>
      <c r="H98" s="343"/>
      <c r="I98" s="343"/>
      <c r="J98" s="343"/>
      <c r="K98" s="343"/>
      <c r="L98" s="343"/>
      <c r="M98" s="343"/>
      <c r="N98" s="343"/>
      <c r="O98" s="343"/>
      <c r="P98" s="343"/>
      <c r="Q98" s="343"/>
      <c r="R98" s="343"/>
      <c r="S98" s="343"/>
      <c r="T98" s="343"/>
      <c r="U98" s="344"/>
      <c r="V98" s="186"/>
      <c r="W98" s="186"/>
    </row>
    <row r="99" spans="1:23" ht="15.75">
      <c r="A99" s="231"/>
      <c r="B99" s="231"/>
      <c r="C99" s="231"/>
      <c r="D99" s="241"/>
      <c r="E99" s="329"/>
      <c r="F99" s="330"/>
      <c r="G99" s="330"/>
      <c r="H99" s="330"/>
      <c r="I99" s="330"/>
      <c r="J99" s="330"/>
      <c r="K99" s="330"/>
      <c r="L99" s="330"/>
      <c r="M99" s="330"/>
      <c r="N99" s="330"/>
      <c r="O99" s="330"/>
      <c r="P99" s="330"/>
      <c r="Q99" s="330"/>
      <c r="R99" s="330"/>
      <c r="S99" s="330"/>
      <c r="T99" s="330"/>
      <c r="U99" s="331"/>
      <c r="V99" s="186"/>
      <c r="W99" s="186"/>
    </row>
    <row r="100" spans="1:23" ht="15.75">
      <c r="A100" s="242"/>
      <c r="B100" s="332"/>
      <c r="C100" s="333"/>
      <c r="D100" s="334"/>
      <c r="E100" s="334"/>
      <c r="F100" s="334"/>
      <c r="G100" s="334"/>
      <c r="H100" s="334"/>
      <c r="I100" s="334"/>
      <c r="J100" s="334"/>
      <c r="K100" s="334"/>
      <c r="L100" s="334"/>
      <c r="M100" s="334"/>
      <c r="N100" s="334"/>
      <c r="O100" s="334"/>
      <c r="P100" s="334"/>
      <c r="Q100" s="334"/>
      <c r="R100" s="334"/>
      <c r="S100" s="334"/>
      <c r="T100" s="334"/>
      <c r="U100" s="335"/>
      <c r="V100" s="186"/>
      <c r="W100" s="52"/>
    </row>
    <row r="101" spans="1:23" ht="15.75">
      <c r="A101" s="242"/>
      <c r="B101" s="332"/>
      <c r="C101" s="333"/>
      <c r="D101" s="334"/>
      <c r="E101" s="334"/>
      <c r="F101" s="334"/>
      <c r="G101" s="334"/>
      <c r="H101" s="334"/>
      <c r="I101" s="334"/>
      <c r="J101" s="334"/>
      <c r="K101" s="334"/>
      <c r="L101" s="334"/>
      <c r="M101" s="334"/>
      <c r="N101" s="334"/>
      <c r="O101" s="334"/>
      <c r="P101" s="334"/>
      <c r="Q101" s="334"/>
      <c r="R101" s="334"/>
      <c r="S101" s="334"/>
      <c r="T101" s="334"/>
      <c r="U101" s="335"/>
      <c r="V101" s="186"/>
      <c r="W101" s="186"/>
    </row>
    <row r="102" spans="1:23" ht="15.75">
      <c r="A102" s="242"/>
      <c r="B102" s="332"/>
      <c r="C102" s="333"/>
      <c r="D102" s="334"/>
      <c r="E102" s="334"/>
      <c r="F102" s="334"/>
      <c r="G102" s="334"/>
      <c r="H102" s="334"/>
      <c r="I102" s="334"/>
      <c r="J102" s="334"/>
      <c r="K102" s="334"/>
      <c r="L102" s="334"/>
      <c r="M102" s="334"/>
      <c r="N102" s="334"/>
      <c r="O102" s="334"/>
      <c r="P102" s="334"/>
      <c r="Q102" s="334"/>
      <c r="R102" s="334"/>
      <c r="S102" s="334"/>
      <c r="T102" s="334"/>
      <c r="U102" s="335"/>
      <c r="V102" s="186"/>
      <c r="W102" s="186"/>
    </row>
    <row r="103" spans="1:23" ht="15.75">
      <c r="A103" s="242"/>
      <c r="B103" s="332"/>
      <c r="C103" s="333"/>
      <c r="D103" s="334"/>
      <c r="E103" s="334"/>
      <c r="F103" s="334"/>
      <c r="G103" s="334"/>
      <c r="H103" s="334"/>
      <c r="I103" s="334"/>
      <c r="J103" s="334"/>
      <c r="K103" s="334"/>
      <c r="L103" s="334"/>
      <c r="M103" s="334"/>
      <c r="N103" s="334"/>
      <c r="O103" s="334"/>
      <c r="P103" s="334"/>
      <c r="Q103" s="334"/>
      <c r="R103" s="334"/>
      <c r="S103" s="334"/>
      <c r="T103" s="334"/>
      <c r="U103" s="335"/>
      <c r="V103" s="186"/>
      <c r="W103" s="186"/>
    </row>
    <row r="104" spans="1:23" ht="15.75">
      <c r="A104" s="242"/>
      <c r="B104" s="332"/>
      <c r="C104" s="333"/>
      <c r="D104" s="334"/>
      <c r="E104" s="334"/>
      <c r="F104" s="334"/>
      <c r="G104" s="334"/>
      <c r="H104" s="334"/>
      <c r="I104" s="334"/>
      <c r="J104" s="334"/>
      <c r="K104" s="334"/>
      <c r="L104" s="334"/>
      <c r="M104" s="334"/>
      <c r="N104" s="334"/>
      <c r="O104" s="334"/>
      <c r="P104" s="334"/>
      <c r="Q104" s="334"/>
      <c r="R104" s="334"/>
      <c r="S104" s="334"/>
      <c r="T104" s="334"/>
      <c r="U104" s="335"/>
      <c r="V104" s="186"/>
      <c r="W104" s="186"/>
    </row>
    <row r="105" spans="1:23" ht="15.75">
      <c r="A105" s="242"/>
      <c r="B105" s="332"/>
      <c r="C105" s="333"/>
      <c r="D105" s="334"/>
      <c r="E105" s="334"/>
      <c r="F105" s="334"/>
      <c r="G105" s="334"/>
      <c r="H105" s="334"/>
      <c r="I105" s="334"/>
      <c r="J105" s="334"/>
      <c r="K105" s="334"/>
      <c r="L105" s="334"/>
      <c r="M105" s="334"/>
      <c r="N105" s="334"/>
      <c r="O105" s="334"/>
      <c r="P105" s="334"/>
      <c r="Q105" s="334"/>
      <c r="R105" s="334"/>
      <c r="S105" s="334"/>
      <c r="T105" s="334"/>
      <c r="U105" s="335"/>
      <c r="V105" s="186"/>
      <c r="W105" s="186"/>
    </row>
    <row r="106" spans="1:23" ht="15.75">
      <c r="A106" s="242"/>
      <c r="B106" s="332"/>
      <c r="C106" s="333"/>
      <c r="D106" s="334"/>
      <c r="E106" s="334"/>
      <c r="F106" s="334"/>
      <c r="G106" s="334"/>
      <c r="H106" s="334"/>
      <c r="I106" s="334"/>
      <c r="J106" s="334"/>
      <c r="K106" s="334"/>
      <c r="L106" s="334"/>
      <c r="M106" s="334"/>
      <c r="N106" s="334"/>
      <c r="O106" s="334"/>
      <c r="P106" s="334"/>
      <c r="Q106" s="334"/>
      <c r="R106" s="334"/>
      <c r="S106" s="334"/>
      <c r="T106" s="334"/>
      <c r="U106" s="335"/>
      <c r="V106" s="186"/>
      <c r="W106" s="186"/>
    </row>
    <row r="107" spans="1:23" ht="15.75">
      <c r="A107" s="242"/>
      <c r="B107" s="332"/>
      <c r="C107" s="333"/>
      <c r="D107" s="334"/>
      <c r="E107" s="334"/>
      <c r="F107" s="334"/>
      <c r="G107" s="334"/>
      <c r="H107" s="334"/>
      <c r="I107" s="334"/>
      <c r="J107" s="334"/>
      <c r="K107" s="334"/>
      <c r="L107" s="334"/>
      <c r="M107" s="334"/>
      <c r="N107" s="334"/>
      <c r="O107" s="334"/>
      <c r="P107" s="334"/>
      <c r="Q107" s="334"/>
      <c r="R107" s="334"/>
      <c r="S107" s="334"/>
      <c r="T107" s="334"/>
      <c r="U107" s="335"/>
      <c r="V107" s="186"/>
      <c r="W107" s="186"/>
    </row>
    <row r="108" spans="1:23" ht="15.75">
      <c r="A108" s="231"/>
      <c r="B108" s="231"/>
      <c r="C108" s="231"/>
      <c r="D108" s="241"/>
      <c r="E108" s="329"/>
      <c r="F108" s="330"/>
      <c r="G108" s="330"/>
      <c r="H108" s="330"/>
      <c r="I108" s="330"/>
      <c r="J108" s="330"/>
      <c r="K108" s="330"/>
      <c r="L108" s="330"/>
      <c r="M108" s="330"/>
      <c r="N108" s="330"/>
      <c r="O108" s="330"/>
      <c r="P108" s="330"/>
      <c r="Q108" s="330"/>
      <c r="R108" s="330"/>
      <c r="S108" s="330"/>
      <c r="T108" s="330"/>
      <c r="U108" s="331"/>
      <c r="V108" s="186"/>
      <c r="W108" s="186"/>
    </row>
    <row r="109" spans="1:23" ht="15.75">
      <c r="A109" s="231"/>
      <c r="B109" s="231"/>
      <c r="C109" s="231"/>
      <c r="D109" s="241"/>
      <c r="E109" s="329"/>
      <c r="F109" s="330"/>
      <c r="G109" s="330"/>
      <c r="H109" s="330"/>
      <c r="I109" s="330"/>
      <c r="J109" s="330"/>
      <c r="K109" s="330"/>
      <c r="L109" s="330"/>
      <c r="M109" s="330"/>
      <c r="N109" s="330"/>
      <c r="O109" s="330"/>
      <c r="P109" s="330"/>
      <c r="Q109" s="330"/>
      <c r="R109" s="330"/>
      <c r="S109" s="330"/>
      <c r="T109" s="330"/>
      <c r="U109" s="331"/>
      <c r="V109" s="186"/>
      <c r="W109" s="186"/>
    </row>
    <row r="110" spans="1:23" ht="15.75">
      <c r="A110" s="231"/>
      <c r="B110" s="231"/>
      <c r="C110" s="231"/>
      <c r="D110" s="241"/>
      <c r="E110" s="329"/>
      <c r="F110" s="330"/>
      <c r="G110" s="330"/>
      <c r="H110" s="330"/>
      <c r="I110" s="330"/>
      <c r="J110" s="330"/>
      <c r="K110" s="330"/>
      <c r="L110" s="330"/>
      <c r="M110" s="330"/>
      <c r="N110" s="330"/>
      <c r="O110" s="330"/>
      <c r="P110" s="330"/>
      <c r="Q110" s="330"/>
      <c r="R110" s="330"/>
      <c r="S110" s="330"/>
      <c r="T110" s="330"/>
      <c r="U110" s="331"/>
      <c r="V110" s="186"/>
      <c r="W110" s="186"/>
    </row>
    <row r="111" spans="1:23">
      <c r="A111" s="231"/>
      <c r="B111" s="231"/>
      <c r="C111" s="231"/>
      <c r="D111" s="241"/>
      <c r="E111" s="232"/>
      <c r="F111" s="233"/>
      <c r="G111" s="233"/>
      <c r="H111" s="234"/>
      <c r="I111" s="235"/>
      <c r="J111" s="236"/>
      <c r="K111" s="232"/>
      <c r="L111" s="237"/>
      <c r="M111" s="238"/>
      <c r="N111" s="233"/>
      <c r="O111" s="232"/>
      <c r="P111" s="232"/>
      <c r="Q111" s="239"/>
      <c r="R111" s="240"/>
      <c r="S111" s="240"/>
      <c r="T111" s="236"/>
      <c r="U111" s="240"/>
      <c r="V111" s="186"/>
      <c r="W111" s="186"/>
    </row>
    <row r="112" spans="1:23" ht="15.75">
      <c r="A112" s="231"/>
      <c r="B112" s="231"/>
      <c r="C112" s="231"/>
      <c r="D112" s="241"/>
      <c r="E112" s="329"/>
      <c r="F112" s="330"/>
      <c r="G112" s="330"/>
      <c r="H112" s="330"/>
      <c r="I112" s="330"/>
      <c r="J112" s="330"/>
      <c r="K112" s="330"/>
      <c r="L112" s="330"/>
      <c r="M112" s="330"/>
      <c r="N112" s="330"/>
      <c r="O112" s="330"/>
      <c r="P112" s="330"/>
      <c r="Q112" s="330"/>
      <c r="R112" s="330"/>
      <c r="S112" s="330"/>
      <c r="T112" s="330"/>
      <c r="U112" s="331"/>
      <c r="V112" s="186"/>
      <c r="W112" s="186"/>
    </row>
    <row r="113" spans="1:23" ht="15.75">
      <c r="A113" s="231"/>
      <c r="B113" s="231"/>
      <c r="C113" s="231"/>
      <c r="D113" s="241"/>
      <c r="E113" s="329"/>
      <c r="F113" s="330"/>
      <c r="G113" s="330"/>
      <c r="H113" s="330"/>
      <c r="I113" s="330"/>
      <c r="J113" s="330"/>
      <c r="K113" s="330"/>
      <c r="L113" s="330"/>
      <c r="M113" s="330"/>
      <c r="N113" s="330"/>
      <c r="O113" s="330"/>
      <c r="P113" s="330"/>
      <c r="Q113" s="330"/>
      <c r="R113" s="330"/>
      <c r="S113" s="330"/>
      <c r="T113" s="330"/>
      <c r="U113" s="331"/>
      <c r="V113" s="186"/>
      <c r="W113" s="186"/>
    </row>
    <row r="114" spans="1:23" ht="15.75">
      <c r="A114" s="242"/>
      <c r="B114" s="332"/>
      <c r="C114" s="333"/>
      <c r="D114" s="334"/>
      <c r="E114" s="334"/>
      <c r="F114" s="334"/>
      <c r="G114" s="334"/>
      <c r="H114" s="334"/>
      <c r="I114" s="334"/>
      <c r="J114" s="334"/>
      <c r="K114" s="334"/>
      <c r="L114" s="334"/>
      <c r="M114" s="334"/>
      <c r="N114" s="334"/>
      <c r="O114" s="334"/>
      <c r="P114" s="334"/>
      <c r="Q114" s="334"/>
      <c r="R114" s="334"/>
      <c r="S114" s="334"/>
      <c r="T114" s="334"/>
      <c r="U114" s="335"/>
      <c r="V114" s="186"/>
      <c r="W114" s="52"/>
    </row>
    <row r="115" spans="1:23" ht="15.75">
      <c r="A115" s="242"/>
      <c r="B115" s="332"/>
      <c r="C115" s="333"/>
      <c r="D115" s="334"/>
      <c r="E115" s="334"/>
      <c r="F115" s="334"/>
      <c r="G115" s="334"/>
      <c r="H115" s="334"/>
      <c r="I115" s="334"/>
      <c r="J115" s="334"/>
      <c r="K115" s="334"/>
      <c r="L115" s="334"/>
      <c r="M115" s="334"/>
      <c r="N115" s="334"/>
      <c r="O115" s="334"/>
      <c r="P115" s="334"/>
      <c r="Q115" s="334"/>
      <c r="R115" s="334"/>
      <c r="S115" s="334"/>
      <c r="T115" s="334"/>
      <c r="U115" s="335"/>
      <c r="V115" s="186"/>
      <c r="W115" s="186"/>
    </row>
    <row r="116" spans="1:23" ht="15.75">
      <c r="A116" s="242"/>
      <c r="B116" s="332"/>
      <c r="C116" s="333"/>
      <c r="D116" s="334"/>
      <c r="E116" s="334"/>
      <c r="F116" s="334"/>
      <c r="G116" s="334"/>
      <c r="H116" s="334"/>
      <c r="I116" s="334"/>
      <c r="J116" s="334"/>
      <c r="K116" s="334"/>
      <c r="L116" s="334"/>
      <c r="M116" s="334"/>
      <c r="N116" s="334"/>
      <c r="O116" s="334"/>
      <c r="P116" s="334"/>
      <c r="Q116" s="334"/>
      <c r="R116" s="334"/>
      <c r="S116" s="334"/>
      <c r="T116" s="334"/>
      <c r="U116" s="335"/>
      <c r="V116" s="186"/>
      <c r="W116" s="186"/>
    </row>
    <row r="117" spans="1:23" ht="15.75">
      <c r="A117" s="242"/>
      <c r="B117" s="332"/>
      <c r="C117" s="333"/>
      <c r="D117" s="334"/>
      <c r="E117" s="334"/>
      <c r="F117" s="334"/>
      <c r="G117" s="334"/>
      <c r="H117" s="334"/>
      <c r="I117" s="334"/>
      <c r="J117" s="334"/>
      <c r="K117" s="334"/>
      <c r="L117" s="334"/>
      <c r="M117" s="334"/>
      <c r="N117" s="334"/>
      <c r="O117" s="334"/>
      <c r="P117" s="334"/>
      <c r="Q117" s="334"/>
      <c r="R117" s="334"/>
      <c r="S117" s="334"/>
      <c r="T117" s="334"/>
      <c r="U117" s="335"/>
      <c r="V117" s="186"/>
      <c r="W117" s="186"/>
    </row>
    <row r="118" spans="1:23" ht="15.75">
      <c r="A118" s="242"/>
      <c r="B118" s="332"/>
      <c r="C118" s="333"/>
      <c r="D118" s="334"/>
      <c r="E118" s="334"/>
      <c r="F118" s="334"/>
      <c r="G118" s="334"/>
      <c r="H118" s="334"/>
      <c r="I118" s="334"/>
      <c r="J118" s="334"/>
      <c r="K118" s="334"/>
      <c r="L118" s="334"/>
      <c r="M118" s="334"/>
      <c r="N118" s="334"/>
      <c r="O118" s="334"/>
      <c r="P118" s="334"/>
      <c r="Q118" s="334"/>
      <c r="R118" s="334"/>
      <c r="S118" s="334"/>
      <c r="T118" s="334"/>
      <c r="U118" s="335"/>
      <c r="V118" s="186"/>
      <c r="W118" s="186"/>
    </row>
    <row r="119" spans="1:23" ht="15.75">
      <c r="A119" s="242"/>
      <c r="B119" s="332"/>
      <c r="C119" s="333"/>
      <c r="D119" s="334"/>
      <c r="E119" s="334"/>
      <c r="F119" s="334"/>
      <c r="G119" s="334"/>
      <c r="H119" s="334"/>
      <c r="I119" s="334"/>
      <c r="J119" s="334"/>
      <c r="K119" s="334"/>
      <c r="L119" s="334"/>
      <c r="M119" s="334"/>
      <c r="N119" s="334"/>
      <c r="O119" s="334"/>
      <c r="P119" s="334"/>
      <c r="Q119" s="334"/>
      <c r="R119" s="334"/>
      <c r="S119" s="334"/>
      <c r="T119" s="334"/>
      <c r="U119" s="335"/>
      <c r="V119" s="186"/>
      <c r="W119" s="186"/>
    </row>
    <row r="120" spans="1:23" ht="15.75">
      <c r="A120" s="242"/>
      <c r="B120" s="332"/>
      <c r="C120" s="333"/>
      <c r="D120" s="334"/>
      <c r="E120" s="334"/>
      <c r="F120" s="334"/>
      <c r="G120" s="334"/>
      <c r="H120" s="334"/>
      <c r="I120" s="334"/>
      <c r="J120" s="334"/>
      <c r="K120" s="334"/>
      <c r="L120" s="334"/>
      <c r="M120" s="334"/>
      <c r="N120" s="334"/>
      <c r="O120" s="334"/>
      <c r="P120" s="334"/>
      <c r="Q120" s="334"/>
      <c r="R120" s="334"/>
      <c r="S120" s="334"/>
      <c r="T120" s="334"/>
      <c r="U120" s="335"/>
      <c r="V120" s="186"/>
      <c r="W120" s="186"/>
    </row>
    <row r="121" spans="1:23" ht="15.75">
      <c r="A121" s="242"/>
      <c r="B121" s="332"/>
      <c r="C121" s="333"/>
      <c r="D121" s="334"/>
      <c r="E121" s="334"/>
      <c r="F121" s="334"/>
      <c r="G121" s="334"/>
      <c r="H121" s="334"/>
      <c r="I121" s="334"/>
      <c r="J121" s="334"/>
      <c r="K121" s="334"/>
      <c r="L121" s="334"/>
      <c r="M121" s="334"/>
      <c r="N121" s="334"/>
      <c r="O121" s="334"/>
      <c r="P121" s="334"/>
      <c r="Q121" s="334"/>
      <c r="R121" s="334"/>
      <c r="S121" s="334"/>
      <c r="T121" s="334"/>
      <c r="U121" s="335"/>
      <c r="V121" s="186"/>
      <c r="W121" s="186"/>
    </row>
    <row r="122" spans="1:23" ht="15.75">
      <c r="A122" s="242"/>
      <c r="B122" s="332"/>
      <c r="C122" s="333"/>
      <c r="D122" s="334"/>
      <c r="E122" s="334"/>
      <c r="F122" s="334"/>
      <c r="G122" s="334"/>
      <c r="H122" s="334"/>
      <c r="I122" s="334"/>
      <c r="J122" s="334"/>
      <c r="K122" s="334"/>
      <c r="L122" s="334"/>
      <c r="M122" s="334"/>
      <c r="N122" s="334"/>
      <c r="O122" s="334"/>
      <c r="P122" s="334"/>
      <c r="Q122" s="334"/>
      <c r="R122" s="334"/>
      <c r="S122" s="334"/>
      <c r="T122" s="334"/>
      <c r="U122" s="335"/>
      <c r="V122" s="186"/>
      <c r="W122" s="186"/>
    </row>
    <row r="123" spans="1:23" ht="15.75">
      <c r="A123" s="242"/>
      <c r="B123" s="332"/>
      <c r="C123" s="333"/>
      <c r="D123" s="334"/>
      <c r="E123" s="334"/>
      <c r="F123" s="334"/>
      <c r="G123" s="334"/>
      <c r="H123" s="334"/>
      <c r="I123" s="334"/>
      <c r="J123" s="334"/>
      <c r="K123" s="334"/>
      <c r="L123" s="334"/>
      <c r="M123" s="334"/>
      <c r="N123" s="334"/>
      <c r="O123" s="334"/>
      <c r="P123" s="334"/>
      <c r="Q123" s="334"/>
      <c r="R123" s="334"/>
      <c r="S123" s="334"/>
      <c r="T123" s="334"/>
      <c r="U123" s="335"/>
      <c r="V123" s="186"/>
      <c r="W123" s="186"/>
    </row>
    <row r="124" spans="1:23" ht="15.75">
      <c r="A124" s="231"/>
      <c r="B124" s="231"/>
      <c r="C124" s="231"/>
      <c r="D124" s="241"/>
      <c r="E124" s="329"/>
      <c r="F124" s="330"/>
      <c r="G124" s="330"/>
      <c r="H124" s="330"/>
      <c r="I124" s="330"/>
      <c r="J124" s="330"/>
      <c r="K124" s="330"/>
      <c r="L124" s="330"/>
      <c r="M124" s="330"/>
      <c r="N124" s="330"/>
      <c r="O124" s="330"/>
      <c r="P124" s="330"/>
      <c r="Q124" s="330"/>
      <c r="R124" s="330"/>
      <c r="S124" s="330"/>
      <c r="T124" s="330"/>
      <c r="U124" s="331"/>
      <c r="V124" s="186"/>
      <c r="W124" s="186"/>
    </row>
    <row r="125" spans="1:23" ht="15.75">
      <c r="A125" s="231"/>
      <c r="B125" s="231"/>
      <c r="C125" s="231"/>
      <c r="D125" s="241"/>
      <c r="E125" s="329"/>
      <c r="F125" s="330"/>
      <c r="G125" s="330"/>
      <c r="H125" s="330"/>
      <c r="I125" s="330"/>
      <c r="J125" s="330"/>
      <c r="K125" s="330"/>
      <c r="L125" s="330"/>
      <c r="M125" s="330"/>
      <c r="N125" s="330"/>
      <c r="O125" s="330"/>
      <c r="P125" s="330"/>
      <c r="Q125" s="330"/>
      <c r="R125" s="330"/>
      <c r="S125" s="330"/>
      <c r="T125" s="330"/>
      <c r="U125" s="331"/>
      <c r="V125" s="186"/>
      <c r="W125" s="186"/>
    </row>
    <row r="126" spans="1:23" ht="15.75">
      <c r="A126" s="231"/>
      <c r="B126" s="231"/>
      <c r="C126" s="231"/>
      <c r="D126" s="241"/>
      <c r="E126" s="329"/>
      <c r="F126" s="330"/>
      <c r="G126" s="330"/>
      <c r="H126" s="330"/>
      <c r="I126" s="330"/>
      <c r="J126" s="330"/>
      <c r="K126" s="330"/>
      <c r="L126" s="330"/>
      <c r="M126" s="330"/>
      <c r="N126" s="330"/>
      <c r="O126" s="330"/>
      <c r="P126" s="330"/>
      <c r="Q126" s="330"/>
      <c r="R126" s="330"/>
      <c r="S126" s="330"/>
      <c r="T126" s="330"/>
      <c r="U126" s="331"/>
      <c r="V126" s="186"/>
      <c r="W126" s="186"/>
    </row>
    <row r="127" spans="1:23">
      <c r="A127" s="231"/>
      <c r="B127" s="231"/>
      <c r="C127" s="231"/>
      <c r="D127" s="241"/>
      <c r="E127" s="232"/>
      <c r="F127" s="233"/>
      <c r="G127" s="233"/>
      <c r="H127" s="234"/>
      <c r="I127" s="235"/>
      <c r="J127" s="236"/>
      <c r="K127" s="232"/>
      <c r="L127" s="237"/>
      <c r="M127" s="238"/>
      <c r="N127" s="233"/>
      <c r="O127" s="232"/>
      <c r="P127" s="232"/>
      <c r="Q127" s="239"/>
      <c r="R127" s="240"/>
      <c r="S127" s="240"/>
      <c r="T127" s="236"/>
      <c r="U127" s="240"/>
      <c r="V127" s="186"/>
      <c r="W127" s="186"/>
    </row>
    <row r="128" spans="1:23" ht="15.75">
      <c r="A128" s="231"/>
      <c r="B128" s="231"/>
      <c r="C128" s="231"/>
      <c r="D128" s="241"/>
      <c r="E128" s="329"/>
      <c r="F128" s="330"/>
      <c r="G128" s="330"/>
      <c r="H128" s="330"/>
      <c r="I128" s="330"/>
      <c r="J128" s="330"/>
      <c r="K128" s="330"/>
      <c r="L128" s="330"/>
      <c r="M128" s="330"/>
      <c r="N128" s="330"/>
      <c r="O128" s="330"/>
      <c r="P128" s="330"/>
      <c r="Q128" s="330"/>
      <c r="R128" s="330"/>
      <c r="S128" s="330"/>
      <c r="T128" s="330"/>
      <c r="U128" s="331"/>
      <c r="V128" s="186"/>
      <c r="W128" s="186"/>
    </row>
    <row r="129" spans="1:23" ht="15.75">
      <c r="A129" s="231"/>
      <c r="B129" s="231"/>
      <c r="C129" s="231"/>
      <c r="D129" s="241"/>
      <c r="E129" s="329"/>
      <c r="F129" s="330"/>
      <c r="G129" s="330"/>
      <c r="H129" s="330"/>
      <c r="I129" s="330"/>
      <c r="J129" s="330"/>
      <c r="K129" s="330"/>
      <c r="L129" s="330"/>
      <c r="M129" s="330"/>
      <c r="N129" s="330"/>
      <c r="O129" s="330"/>
      <c r="P129" s="330"/>
      <c r="Q129" s="330"/>
      <c r="R129" s="330"/>
      <c r="S129" s="330"/>
      <c r="T129" s="330"/>
      <c r="U129" s="331"/>
      <c r="V129" s="186"/>
      <c r="W129" s="186"/>
    </row>
    <row r="130" spans="1:23" ht="15.75">
      <c r="A130" s="231"/>
      <c r="B130" s="231"/>
      <c r="C130" s="231"/>
      <c r="D130" s="241"/>
      <c r="E130" s="329"/>
      <c r="F130" s="330"/>
      <c r="G130" s="330"/>
      <c r="H130" s="330"/>
      <c r="I130" s="330"/>
      <c r="J130" s="330"/>
      <c r="K130" s="330"/>
      <c r="L130" s="330"/>
      <c r="M130" s="330"/>
      <c r="N130" s="330"/>
      <c r="O130" s="330"/>
      <c r="P130" s="330"/>
      <c r="Q130" s="330"/>
      <c r="R130" s="330"/>
      <c r="S130" s="330"/>
      <c r="T130" s="330"/>
      <c r="U130" s="331"/>
      <c r="V130" s="186"/>
      <c r="W130" s="186"/>
    </row>
    <row r="131" spans="1:23" ht="15.75">
      <c r="A131" s="242"/>
      <c r="B131" s="332"/>
      <c r="C131" s="333"/>
      <c r="D131" s="334"/>
      <c r="E131" s="334"/>
      <c r="F131" s="334"/>
      <c r="G131" s="334"/>
      <c r="H131" s="334"/>
      <c r="I131" s="334"/>
      <c r="J131" s="334"/>
      <c r="K131" s="334"/>
      <c r="L131" s="334"/>
      <c r="M131" s="334"/>
      <c r="N131" s="334"/>
      <c r="O131" s="334"/>
      <c r="P131" s="334"/>
      <c r="Q131" s="334"/>
      <c r="R131" s="334"/>
      <c r="S131" s="334"/>
      <c r="T131" s="334"/>
      <c r="U131" s="335"/>
      <c r="V131" s="186"/>
      <c r="W131" s="52"/>
    </row>
    <row r="132" spans="1:23" ht="15.75">
      <c r="A132" s="242"/>
      <c r="B132" s="332"/>
      <c r="C132" s="333"/>
      <c r="D132" s="334"/>
      <c r="E132" s="334"/>
      <c r="F132" s="334"/>
      <c r="G132" s="334"/>
      <c r="H132" s="334"/>
      <c r="I132" s="334"/>
      <c r="J132" s="334"/>
      <c r="K132" s="334"/>
      <c r="L132" s="334"/>
      <c r="M132" s="334"/>
      <c r="N132" s="334"/>
      <c r="O132" s="334"/>
      <c r="P132" s="334"/>
      <c r="Q132" s="334"/>
      <c r="R132" s="334"/>
      <c r="S132" s="334"/>
      <c r="T132" s="334"/>
      <c r="U132" s="335"/>
      <c r="V132" s="186"/>
      <c r="W132" s="186"/>
    </row>
    <row r="133" spans="1:23" ht="15.75">
      <c r="A133" s="242"/>
      <c r="B133" s="332"/>
      <c r="C133" s="333"/>
      <c r="D133" s="334"/>
      <c r="E133" s="334"/>
      <c r="F133" s="334"/>
      <c r="G133" s="334"/>
      <c r="H133" s="334"/>
      <c r="I133" s="334"/>
      <c r="J133" s="334"/>
      <c r="K133" s="334"/>
      <c r="L133" s="334"/>
      <c r="M133" s="334"/>
      <c r="N133" s="334"/>
      <c r="O133" s="334"/>
      <c r="P133" s="334"/>
      <c r="Q133" s="334"/>
      <c r="R133" s="334"/>
      <c r="S133" s="334"/>
      <c r="T133" s="334"/>
      <c r="U133" s="335"/>
      <c r="V133" s="186"/>
      <c r="W133" s="186"/>
    </row>
    <row r="134" spans="1:23" ht="15.75">
      <c r="A134" s="242"/>
      <c r="B134" s="332"/>
      <c r="C134" s="333"/>
      <c r="D134" s="334"/>
      <c r="E134" s="334"/>
      <c r="F134" s="334"/>
      <c r="G134" s="334"/>
      <c r="H134" s="334"/>
      <c r="I134" s="334"/>
      <c r="J134" s="334"/>
      <c r="K134" s="334"/>
      <c r="L134" s="334"/>
      <c r="M134" s="334"/>
      <c r="N134" s="334"/>
      <c r="O134" s="334"/>
      <c r="P134" s="334"/>
      <c r="Q134" s="334"/>
      <c r="R134" s="334"/>
      <c r="S134" s="334"/>
      <c r="T134" s="334"/>
      <c r="U134" s="335"/>
      <c r="V134" s="186"/>
      <c r="W134" s="186"/>
    </row>
    <row r="135" spans="1:23" ht="15.75">
      <c r="A135" s="242"/>
      <c r="B135" s="332"/>
      <c r="C135" s="333"/>
      <c r="D135" s="334"/>
      <c r="E135" s="334"/>
      <c r="F135" s="334"/>
      <c r="G135" s="334"/>
      <c r="H135" s="334"/>
      <c r="I135" s="334"/>
      <c r="J135" s="334"/>
      <c r="K135" s="334"/>
      <c r="L135" s="334"/>
      <c r="M135" s="334"/>
      <c r="N135" s="334"/>
      <c r="O135" s="334"/>
      <c r="P135" s="334"/>
      <c r="Q135" s="334"/>
      <c r="R135" s="334"/>
      <c r="S135" s="334"/>
      <c r="T135" s="334"/>
      <c r="U135" s="335"/>
      <c r="V135" s="186"/>
      <c r="W135" s="186"/>
    </row>
    <row r="136" spans="1:23" ht="15.75">
      <c r="A136" s="242"/>
      <c r="B136" s="332"/>
      <c r="C136" s="333"/>
      <c r="D136" s="334"/>
      <c r="E136" s="334"/>
      <c r="F136" s="334"/>
      <c r="G136" s="334"/>
      <c r="H136" s="334"/>
      <c r="I136" s="334"/>
      <c r="J136" s="334"/>
      <c r="K136" s="334"/>
      <c r="L136" s="334"/>
      <c r="M136" s="334"/>
      <c r="N136" s="334"/>
      <c r="O136" s="334"/>
      <c r="P136" s="334"/>
      <c r="Q136" s="334"/>
      <c r="R136" s="334"/>
      <c r="S136" s="334"/>
      <c r="T136" s="334"/>
      <c r="U136" s="335"/>
      <c r="V136" s="186"/>
      <c r="W136" s="186"/>
    </row>
    <row r="137" spans="1:23" ht="15.75">
      <c r="A137" s="242"/>
      <c r="B137" s="332"/>
      <c r="C137" s="333"/>
      <c r="D137" s="334"/>
      <c r="E137" s="334"/>
      <c r="F137" s="334"/>
      <c r="G137" s="334"/>
      <c r="H137" s="334"/>
      <c r="I137" s="334"/>
      <c r="J137" s="334"/>
      <c r="K137" s="334"/>
      <c r="L137" s="334"/>
      <c r="M137" s="334"/>
      <c r="N137" s="334"/>
      <c r="O137" s="334"/>
      <c r="P137" s="334"/>
      <c r="Q137" s="334"/>
      <c r="R137" s="334"/>
      <c r="S137" s="334"/>
      <c r="T137" s="334"/>
      <c r="U137" s="335"/>
      <c r="V137" s="186"/>
      <c r="W137" s="186"/>
    </row>
    <row r="138" spans="1:23" ht="15.75">
      <c r="A138" s="242"/>
      <c r="B138" s="332"/>
      <c r="C138" s="333"/>
      <c r="D138" s="334"/>
      <c r="E138" s="334"/>
      <c r="F138" s="334"/>
      <c r="G138" s="334"/>
      <c r="H138" s="334"/>
      <c r="I138" s="334"/>
      <c r="J138" s="334"/>
      <c r="K138" s="334"/>
      <c r="L138" s="334"/>
      <c r="M138" s="334"/>
      <c r="N138" s="334"/>
      <c r="O138" s="334"/>
      <c r="P138" s="334"/>
      <c r="Q138" s="334"/>
      <c r="R138" s="334"/>
      <c r="S138" s="334"/>
      <c r="T138" s="334"/>
      <c r="U138" s="335"/>
      <c r="V138" s="186"/>
      <c r="W138" s="186"/>
    </row>
    <row r="139" spans="1:23" ht="15.75">
      <c r="A139" s="242"/>
      <c r="B139" s="332"/>
      <c r="C139" s="333"/>
      <c r="D139" s="334"/>
      <c r="E139" s="334"/>
      <c r="F139" s="334"/>
      <c r="G139" s="334"/>
      <c r="H139" s="334"/>
      <c r="I139" s="334"/>
      <c r="J139" s="334"/>
      <c r="K139" s="334"/>
      <c r="L139" s="334"/>
      <c r="M139" s="334"/>
      <c r="N139" s="334"/>
      <c r="O139" s="334"/>
      <c r="P139" s="334"/>
      <c r="Q139" s="334"/>
      <c r="R139" s="334"/>
      <c r="S139" s="334"/>
      <c r="T139" s="334"/>
      <c r="U139" s="335"/>
      <c r="V139" s="186"/>
      <c r="W139" s="186"/>
    </row>
    <row r="140" spans="1:23" ht="15.75">
      <c r="A140" s="242"/>
      <c r="B140" s="332"/>
      <c r="C140" s="333"/>
      <c r="D140" s="334"/>
      <c r="E140" s="334"/>
      <c r="F140" s="334"/>
      <c r="G140" s="334"/>
      <c r="H140" s="334"/>
      <c r="I140" s="334"/>
      <c r="J140" s="334"/>
      <c r="K140" s="334"/>
      <c r="L140" s="334"/>
      <c r="M140" s="334"/>
      <c r="N140" s="334"/>
      <c r="O140" s="334"/>
      <c r="P140" s="334"/>
      <c r="Q140" s="334"/>
      <c r="R140" s="334"/>
      <c r="S140" s="334"/>
      <c r="T140" s="334"/>
      <c r="U140" s="335"/>
      <c r="V140" s="186"/>
      <c r="W140" s="247"/>
    </row>
    <row r="141" spans="1:23" ht="15.75">
      <c r="A141" s="242"/>
      <c r="B141" s="332"/>
      <c r="C141" s="333"/>
      <c r="D141" s="334"/>
      <c r="E141" s="334"/>
      <c r="F141" s="334"/>
      <c r="G141" s="334"/>
      <c r="H141" s="334"/>
      <c r="I141" s="334"/>
      <c r="J141" s="334"/>
      <c r="K141" s="334"/>
      <c r="L141" s="334"/>
      <c r="M141" s="334"/>
      <c r="N141" s="334"/>
      <c r="O141" s="334"/>
      <c r="P141" s="334"/>
      <c r="Q141" s="334"/>
      <c r="R141" s="334"/>
      <c r="S141" s="334"/>
      <c r="T141" s="334"/>
      <c r="U141" s="335"/>
      <c r="V141" s="186"/>
      <c r="W141" s="247"/>
    </row>
    <row r="142" spans="1:23" ht="15.75">
      <c r="A142" s="242"/>
      <c r="B142" s="332"/>
      <c r="C142" s="333"/>
      <c r="D142" s="334"/>
      <c r="E142" s="334"/>
      <c r="F142" s="334"/>
      <c r="G142" s="334"/>
      <c r="H142" s="334"/>
      <c r="I142" s="334"/>
      <c r="J142" s="334"/>
      <c r="K142" s="334"/>
      <c r="L142" s="334"/>
      <c r="M142" s="334"/>
      <c r="N142" s="334"/>
      <c r="O142" s="334"/>
      <c r="P142" s="334"/>
      <c r="Q142" s="334"/>
      <c r="R142" s="334"/>
      <c r="S142" s="334"/>
      <c r="T142" s="334"/>
      <c r="U142" s="335"/>
      <c r="V142" s="186"/>
      <c r="W142" s="247"/>
    </row>
    <row r="143" spans="1:23" ht="15.75">
      <c r="A143" s="242"/>
      <c r="B143" s="332"/>
      <c r="C143" s="333"/>
      <c r="D143" s="334"/>
      <c r="E143" s="334"/>
      <c r="F143" s="334"/>
      <c r="G143" s="334"/>
      <c r="H143" s="334"/>
      <c r="I143" s="334"/>
      <c r="J143" s="334"/>
      <c r="K143" s="334"/>
      <c r="L143" s="334"/>
      <c r="M143" s="334"/>
      <c r="N143" s="334"/>
      <c r="O143" s="334"/>
      <c r="P143" s="334"/>
      <c r="Q143" s="334"/>
      <c r="R143" s="334"/>
      <c r="S143" s="334"/>
      <c r="T143" s="334"/>
      <c r="U143" s="335"/>
      <c r="V143" s="186"/>
      <c r="W143" s="247"/>
    </row>
    <row r="144" spans="1:23" ht="15.75">
      <c r="A144" s="260"/>
      <c r="B144" s="332"/>
      <c r="C144" s="333"/>
      <c r="D144" s="334"/>
      <c r="E144" s="334"/>
      <c r="F144" s="334"/>
      <c r="G144" s="334"/>
      <c r="H144" s="334"/>
      <c r="I144" s="334"/>
      <c r="J144" s="334"/>
      <c r="K144" s="334"/>
      <c r="L144" s="334"/>
      <c r="M144" s="334"/>
      <c r="N144" s="334"/>
      <c r="O144" s="334"/>
      <c r="P144" s="334"/>
      <c r="Q144" s="334"/>
      <c r="R144" s="334"/>
      <c r="S144" s="334"/>
      <c r="T144" s="334"/>
      <c r="U144" s="335"/>
      <c r="V144" s="186"/>
      <c r="W144" s="247"/>
    </row>
    <row r="145" spans="1:23" ht="15.75">
      <c r="A145" s="249"/>
      <c r="B145" s="249"/>
      <c r="C145" s="249"/>
      <c r="D145" s="259"/>
      <c r="E145" s="329"/>
      <c r="F145" s="330"/>
      <c r="G145" s="330"/>
      <c r="H145" s="330"/>
      <c r="I145" s="330"/>
      <c r="J145" s="330"/>
      <c r="K145" s="330"/>
      <c r="L145" s="330"/>
      <c r="M145" s="330"/>
      <c r="N145" s="330"/>
      <c r="O145" s="330"/>
      <c r="P145" s="330"/>
      <c r="Q145" s="330"/>
      <c r="R145" s="330"/>
      <c r="S145" s="330"/>
      <c r="T145" s="330"/>
      <c r="U145" s="331"/>
      <c r="V145" s="186"/>
      <c r="W145" s="247"/>
    </row>
    <row r="146" spans="1:23" ht="15" customHeight="1">
      <c r="A146" s="249"/>
      <c r="B146" s="249"/>
      <c r="C146" s="249"/>
      <c r="D146" s="259"/>
      <c r="E146" s="329"/>
      <c r="F146" s="330"/>
      <c r="G146" s="330"/>
      <c r="H146" s="330"/>
      <c r="I146" s="330"/>
      <c r="J146" s="330"/>
      <c r="K146" s="330"/>
      <c r="L146" s="330"/>
      <c r="M146" s="330"/>
      <c r="N146" s="330"/>
      <c r="O146" s="330"/>
      <c r="P146" s="330"/>
      <c r="Q146" s="330"/>
      <c r="R146" s="330"/>
      <c r="S146" s="330"/>
      <c r="T146" s="330"/>
      <c r="U146" s="331"/>
      <c r="V146" s="247"/>
      <c r="W146" s="247"/>
    </row>
    <row r="147" spans="1:23" ht="15.75">
      <c r="A147" s="249"/>
      <c r="B147" s="249"/>
      <c r="C147" s="249"/>
      <c r="D147" s="259"/>
      <c r="E147" s="329"/>
      <c r="F147" s="330"/>
      <c r="G147" s="330"/>
      <c r="H147" s="330"/>
      <c r="I147" s="330"/>
      <c r="J147" s="330"/>
      <c r="K147" s="330"/>
      <c r="L147" s="330"/>
      <c r="M147" s="330"/>
      <c r="N147" s="330"/>
      <c r="O147" s="330"/>
      <c r="P147" s="330"/>
      <c r="Q147" s="330"/>
      <c r="R147" s="330"/>
      <c r="S147" s="330"/>
      <c r="T147" s="330"/>
      <c r="U147" s="331"/>
      <c r="V147" s="247"/>
      <c r="W147" s="247"/>
    </row>
    <row r="148" spans="1:23">
      <c r="A148" s="336"/>
      <c r="B148" s="336"/>
      <c r="C148" s="261"/>
      <c r="D148" s="338"/>
      <c r="E148" s="340"/>
      <c r="F148" s="251"/>
      <c r="G148" s="251"/>
      <c r="H148" s="252"/>
      <c r="I148" s="253"/>
      <c r="J148" s="254"/>
      <c r="K148" s="250"/>
      <c r="L148" s="255"/>
      <c r="M148" s="256"/>
      <c r="N148" s="251"/>
      <c r="O148" s="250"/>
      <c r="P148" s="250"/>
      <c r="Q148" s="257"/>
      <c r="R148" s="258"/>
      <c r="S148" s="258"/>
      <c r="T148" s="254"/>
      <c r="U148" s="258"/>
      <c r="V148" s="247"/>
      <c r="W148" s="247"/>
    </row>
    <row r="149" spans="1:23">
      <c r="A149" s="337"/>
      <c r="B149" s="337"/>
      <c r="C149" s="262"/>
      <c r="D149" s="339"/>
      <c r="E149" s="341"/>
      <c r="F149" s="342"/>
      <c r="G149" s="343"/>
      <c r="H149" s="343"/>
      <c r="I149" s="343"/>
      <c r="J149" s="343"/>
      <c r="K149" s="343"/>
      <c r="L149" s="343"/>
      <c r="M149" s="343"/>
      <c r="N149" s="343"/>
      <c r="O149" s="343"/>
      <c r="P149" s="343"/>
      <c r="Q149" s="343"/>
      <c r="R149" s="343"/>
      <c r="S149" s="343"/>
      <c r="T149" s="343"/>
      <c r="U149" s="344"/>
      <c r="V149" s="247"/>
      <c r="W149" s="247"/>
    </row>
    <row r="150" spans="1:23" ht="15.75">
      <c r="A150" s="249"/>
      <c r="B150" s="249"/>
      <c r="C150" s="249"/>
      <c r="D150" s="259"/>
      <c r="E150" s="329"/>
      <c r="F150" s="330"/>
      <c r="G150" s="330"/>
      <c r="H150" s="330"/>
      <c r="I150" s="330"/>
      <c r="J150" s="330"/>
      <c r="K150" s="330"/>
      <c r="L150" s="330"/>
      <c r="M150" s="330"/>
      <c r="N150" s="330"/>
      <c r="O150" s="330"/>
      <c r="P150" s="330"/>
      <c r="Q150" s="330"/>
      <c r="R150" s="330"/>
      <c r="S150" s="330"/>
      <c r="T150" s="330"/>
      <c r="U150" s="331"/>
      <c r="V150" s="247"/>
      <c r="W150" s="247"/>
    </row>
    <row r="151" spans="1:23" ht="15.75">
      <c r="A151" s="249"/>
      <c r="B151" s="249"/>
      <c r="C151" s="249"/>
      <c r="D151" s="259"/>
      <c r="E151" s="329"/>
      <c r="F151" s="330"/>
      <c r="G151" s="330"/>
      <c r="H151" s="330"/>
      <c r="I151" s="330"/>
      <c r="J151" s="330"/>
      <c r="K151" s="330"/>
      <c r="L151" s="330"/>
      <c r="M151" s="330"/>
      <c r="N151" s="330"/>
      <c r="O151" s="330"/>
      <c r="P151" s="330"/>
      <c r="Q151" s="330"/>
      <c r="R151" s="330"/>
      <c r="S151" s="330"/>
      <c r="T151" s="330"/>
      <c r="U151" s="331"/>
      <c r="V151" s="247"/>
      <c r="W151" s="247"/>
    </row>
  </sheetData>
  <mergeCells count="139">
    <mergeCell ref="B56:U56"/>
    <mergeCell ref="B32:U32"/>
    <mergeCell ref="B40:U40"/>
    <mergeCell ref="B41:U41"/>
    <mergeCell ref="B42:U42"/>
    <mergeCell ref="B43:U43"/>
    <mergeCell ref="B44:U44"/>
    <mergeCell ref="B18:U18"/>
    <mergeCell ref="B4:U4"/>
    <mergeCell ref="B12:U12"/>
    <mergeCell ref="B13:U13"/>
    <mergeCell ref="B14:U14"/>
    <mergeCell ref="B15:U15"/>
    <mergeCell ref="B16:U16"/>
    <mergeCell ref="B17:U17"/>
    <mergeCell ref="B20:U20"/>
    <mergeCell ref="E11:U11"/>
    <mergeCell ref="B45:U45"/>
    <mergeCell ref="B46:U46"/>
    <mergeCell ref="B47:U47"/>
    <mergeCell ref="B48:U48"/>
    <mergeCell ref="B49:U49"/>
    <mergeCell ref="B50:U50"/>
    <mergeCell ref="E24:U24"/>
    <mergeCell ref="E25:U25"/>
    <mergeCell ref="B51:U51"/>
    <mergeCell ref="E33:U33"/>
    <mergeCell ref="E34:U34"/>
    <mergeCell ref="E36:U36"/>
    <mergeCell ref="E38:U38"/>
    <mergeCell ref="B19:U19"/>
    <mergeCell ref="E5:U5"/>
    <mergeCell ref="E6:U6"/>
    <mergeCell ref="E7:U7"/>
    <mergeCell ref="E8:U8"/>
    <mergeCell ref="E10:U10"/>
    <mergeCell ref="B21:U21"/>
    <mergeCell ref="B22:U22"/>
    <mergeCell ref="B23:U23"/>
    <mergeCell ref="B31:U31"/>
    <mergeCell ref="E26:U26"/>
    <mergeCell ref="E28:U28"/>
    <mergeCell ref="E29:U29"/>
    <mergeCell ref="E39:U39"/>
    <mergeCell ref="E52:U52"/>
    <mergeCell ref="E53:U53"/>
    <mergeCell ref="E55:U55"/>
    <mergeCell ref="E60:U60"/>
    <mergeCell ref="B57:U57"/>
    <mergeCell ref="B58:U58"/>
    <mergeCell ref="B59:U59"/>
    <mergeCell ref="E150:U150"/>
    <mergeCell ref="B104:U104"/>
    <mergeCell ref="B105:U105"/>
    <mergeCell ref="B106:U106"/>
    <mergeCell ref="D97:D98"/>
    <mergeCell ref="E97:E98"/>
    <mergeCell ref="B88:U88"/>
    <mergeCell ref="B89:U89"/>
    <mergeCell ref="B100:U100"/>
    <mergeCell ref="E76:U76"/>
    <mergeCell ref="E77:U77"/>
    <mergeCell ref="E78:U78"/>
    <mergeCell ref="E81:U81"/>
    <mergeCell ref="B140:U140"/>
    <mergeCell ref="B141:U141"/>
    <mergeCell ref="B142:U142"/>
    <mergeCell ref="B143:U143"/>
    <mergeCell ref="E151:U151"/>
    <mergeCell ref="F149:U149"/>
    <mergeCell ref="B144:U144"/>
    <mergeCell ref="A148:A149"/>
    <mergeCell ref="B148:B149"/>
    <mergeCell ref="D148:D149"/>
    <mergeCell ref="E148:E149"/>
    <mergeCell ref="E145:U145"/>
    <mergeCell ref="E146:U146"/>
    <mergeCell ref="E147:U147"/>
    <mergeCell ref="A79:A80"/>
    <mergeCell ref="B79:B80"/>
    <mergeCell ref="D79:D80"/>
    <mergeCell ref="E79:E80"/>
    <mergeCell ref="E129:U129"/>
    <mergeCell ref="E130:U130"/>
    <mergeCell ref="E99:U99"/>
    <mergeCell ref="E108:U108"/>
    <mergeCell ref="E109:U109"/>
    <mergeCell ref="E110:U110"/>
    <mergeCell ref="E112:U112"/>
    <mergeCell ref="F98:U98"/>
    <mergeCell ref="E128:U128"/>
    <mergeCell ref="B107:U107"/>
    <mergeCell ref="B114:U114"/>
    <mergeCell ref="B115:U115"/>
    <mergeCell ref="B116:U116"/>
    <mergeCell ref="B117:U117"/>
    <mergeCell ref="A97:A98"/>
    <mergeCell ref="B97:B98"/>
    <mergeCell ref="E96:U96"/>
    <mergeCell ref="E82:U82"/>
    <mergeCell ref="E84:U84"/>
    <mergeCell ref="B118:U118"/>
    <mergeCell ref="B138:U138"/>
    <mergeCell ref="B139:U139"/>
    <mergeCell ref="B132:U132"/>
    <mergeCell ref="B133:U133"/>
    <mergeCell ref="B134:U134"/>
    <mergeCell ref="B135:U135"/>
    <mergeCell ref="B136:U136"/>
    <mergeCell ref="B137:U137"/>
    <mergeCell ref="B119:U119"/>
    <mergeCell ref="B120:U120"/>
    <mergeCell ref="B121:U121"/>
    <mergeCell ref="B122:U122"/>
    <mergeCell ref="B123:U123"/>
    <mergeCell ref="B131:U131"/>
    <mergeCell ref="E124:U124"/>
    <mergeCell ref="E125:U125"/>
    <mergeCell ref="E126:U126"/>
    <mergeCell ref="E113:U113"/>
    <mergeCell ref="B101:U101"/>
    <mergeCell ref="B102:U102"/>
    <mergeCell ref="B103:U103"/>
    <mergeCell ref="F80:U80"/>
    <mergeCell ref="B74:U74"/>
    <mergeCell ref="B75:U75"/>
    <mergeCell ref="E61:U61"/>
    <mergeCell ref="E64:U64"/>
    <mergeCell ref="E66:U66"/>
    <mergeCell ref="E87:U87"/>
    <mergeCell ref="E90:U90"/>
    <mergeCell ref="E91:U91"/>
    <mergeCell ref="E95:U95"/>
    <mergeCell ref="E68:U68"/>
    <mergeCell ref="E69:U69"/>
    <mergeCell ref="E70:U70"/>
    <mergeCell ref="E72:U72"/>
    <mergeCell ref="E73:U73"/>
    <mergeCell ref="E67:U67"/>
  </mergeCells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9"/>
  <sheetViews>
    <sheetView topLeftCell="A13" workbookViewId="0">
      <pane xSplit="1" topLeftCell="B1" activePane="topRight" state="frozen"/>
      <selection pane="topRight" activeCell="D12" sqref="D12"/>
    </sheetView>
  </sheetViews>
  <sheetFormatPr defaultRowHeight="15"/>
  <cols>
    <col min="2" max="2" width="17.42578125" customWidth="1"/>
    <col min="4" max="4" width="9.85546875" customWidth="1"/>
    <col min="5" max="5" width="12.7109375" style="53" customWidth="1"/>
    <col min="6" max="7" width="9.85546875" style="53" customWidth="1"/>
    <col min="8" max="8" width="18.5703125" customWidth="1"/>
    <col min="11" max="11" width="15.28515625" customWidth="1"/>
    <col min="13" max="13" width="10.140625" customWidth="1"/>
    <col min="14" max="14" width="18.28515625" customWidth="1"/>
    <col min="16" max="16" width="10.7109375" bestFit="1" customWidth="1"/>
    <col min="17" max="17" width="17.28515625" customWidth="1"/>
    <col min="20" max="20" width="17.5703125" customWidth="1"/>
  </cols>
  <sheetData>
    <row r="1" spans="1:22" ht="18.75" thickBot="1">
      <c r="A1" s="10"/>
      <c r="B1" s="345"/>
      <c r="C1" s="345"/>
      <c r="D1" s="345"/>
      <c r="E1" s="345"/>
      <c r="F1" s="345"/>
      <c r="G1" s="345"/>
      <c r="H1" s="345"/>
      <c r="I1" s="345"/>
      <c r="J1" s="345"/>
      <c r="K1" s="345"/>
      <c r="L1" s="345"/>
      <c r="M1" s="345"/>
      <c r="N1" s="346"/>
      <c r="O1" s="346"/>
      <c r="P1" s="346"/>
      <c r="Q1" s="345"/>
      <c r="R1" s="345"/>
      <c r="S1" s="345"/>
      <c r="T1" s="11"/>
      <c r="U1" s="11"/>
      <c r="V1" s="11"/>
    </row>
    <row r="2" spans="1:22" ht="31.5" customHeight="1" thickBot="1">
      <c r="A2" s="12"/>
      <c r="B2" s="13" t="s">
        <v>37</v>
      </c>
      <c r="C2" s="14" t="s">
        <v>74</v>
      </c>
      <c r="D2" s="15" t="s">
        <v>75</v>
      </c>
      <c r="E2" s="13" t="s">
        <v>214</v>
      </c>
      <c r="F2" s="14" t="s">
        <v>74</v>
      </c>
      <c r="G2" s="15" t="s">
        <v>75</v>
      </c>
      <c r="H2" s="13" t="s">
        <v>36</v>
      </c>
      <c r="I2" s="14" t="s">
        <v>74</v>
      </c>
      <c r="J2" s="15" t="s">
        <v>75</v>
      </c>
      <c r="K2" s="16" t="s">
        <v>76</v>
      </c>
      <c r="L2" s="14" t="s">
        <v>74</v>
      </c>
      <c r="M2" s="15" t="s">
        <v>75</v>
      </c>
      <c r="N2" s="17" t="s">
        <v>77</v>
      </c>
      <c r="O2" s="18" t="s">
        <v>74</v>
      </c>
      <c r="P2" s="19" t="s">
        <v>75</v>
      </c>
      <c r="Q2" s="20" t="s">
        <v>78</v>
      </c>
      <c r="R2" s="21" t="s">
        <v>74</v>
      </c>
      <c r="S2" s="15" t="s">
        <v>75</v>
      </c>
      <c r="T2" s="20" t="s">
        <v>79</v>
      </c>
      <c r="U2" s="21" t="s">
        <v>74</v>
      </c>
      <c r="V2" s="15" t="s">
        <v>75</v>
      </c>
    </row>
    <row r="3" spans="1:22">
      <c r="A3" s="22">
        <v>1</v>
      </c>
      <c r="B3" s="23"/>
      <c r="C3" s="248"/>
      <c r="D3" s="26"/>
      <c r="E3" s="166"/>
      <c r="F3" s="248"/>
      <c r="G3" s="26"/>
      <c r="H3" s="24"/>
      <c r="I3" s="248"/>
      <c r="J3" s="26"/>
      <c r="K3" s="24"/>
      <c r="L3" s="248"/>
      <c r="M3" s="26"/>
      <c r="N3" s="188"/>
      <c r="O3" s="248"/>
      <c r="P3" s="26"/>
      <c r="Q3" s="27"/>
      <c r="R3" s="248"/>
      <c r="S3" s="26"/>
      <c r="T3" s="24"/>
      <c r="U3" s="248"/>
      <c r="V3" s="26"/>
    </row>
    <row r="4" spans="1:22">
      <c r="A4" s="22">
        <v>2</v>
      </c>
      <c r="B4" s="38"/>
      <c r="C4" s="248"/>
      <c r="D4" s="26"/>
      <c r="E4" s="166"/>
      <c r="F4" s="248"/>
      <c r="G4" s="26"/>
      <c r="H4" s="38"/>
      <c r="I4" s="248"/>
      <c r="J4" s="26"/>
      <c r="K4" s="38"/>
      <c r="L4" s="248"/>
      <c r="M4" s="26"/>
      <c r="N4" s="24"/>
      <c r="O4" s="248"/>
      <c r="P4" s="26"/>
      <c r="Q4" s="76"/>
      <c r="R4" s="248"/>
      <c r="S4" s="26"/>
      <c r="T4" s="24"/>
      <c r="U4" s="248"/>
      <c r="V4" s="26"/>
    </row>
    <row r="5" spans="1:22">
      <c r="A5" s="22">
        <v>3</v>
      </c>
      <c r="B5" s="38">
        <f>Favorit!W16</f>
        <v>0</v>
      </c>
      <c r="C5" s="248">
        <v>12</v>
      </c>
      <c r="D5" s="26">
        <f t="shared" ref="D5:D31" si="0">B5/IF(C5=12,100,100*C5/12)</f>
        <v>0</v>
      </c>
      <c r="E5" s="166">
        <f>Favorit!W22</f>
        <v>117.52768827777777</v>
      </c>
      <c r="F5" s="248">
        <v>12</v>
      </c>
      <c r="G5" s="26">
        <f t="shared" ref="G5:G33" si="1">E5/IF(F5=12,100,100*F5/12)</f>
        <v>1.1752768827777778</v>
      </c>
      <c r="H5" s="38"/>
      <c r="I5" s="248"/>
      <c r="J5" s="26"/>
      <c r="K5" s="24">
        <f>'KBA '!W12</f>
        <v>103.82762121212122</v>
      </c>
      <c r="L5" s="248">
        <v>12</v>
      </c>
      <c r="M5" s="26">
        <f t="shared" ref="M5:M33" si="2">K5/IF(L5=12,100,100*L5/12)</f>
        <v>1.0382762121212121</v>
      </c>
      <c r="N5" s="24">
        <f>'KBA '!W28</f>
        <v>103.78281446666666</v>
      </c>
      <c r="O5" s="248">
        <v>12</v>
      </c>
      <c r="P5" s="26">
        <f>N5/IF(O5=12,100,100*O5/12)</f>
        <v>1.0378281446666666</v>
      </c>
      <c r="Q5" s="24"/>
      <c r="R5" s="248"/>
      <c r="S5" s="26"/>
      <c r="T5" s="24"/>
      <c r="U5" s="248"/>
      <c r="V5" s="26"/>
    </row>
    <row r="6" spans="1:22">
      <c r="A6" s="22">
        <v>4</v>
      </c>
      <c r="B6" s="38">
        <f>Favorit!W27</f>
        <v>93.987055555555571</v>
      </c>
      <c r="C6" s="248">
        <v>12</v>
      </c>
      <c r="D6" s="26">
        <f t="shared" si="0"/>
        <v>0.93987055555555576</v>
      </c>
      <c r="E6" s="166">
        <f>Favorit!W35</f>
        <v>103.34995000000001</v>
      </c>
      <c r="F6" s="248">
        <v>12</v>
      </c>
      <c r="G6" s="26">
        <f t="shared" si="1"/>
        <v>1.0334995</v>
      </c>
      <c r="H6" s="38"/>
      <c r="I6" s="248"/>
      <c r="J6" s="26"/>
      <c r="K6" s="74"/>
      <c r="L6" s="248"/>
      <c r="M6" s="26"/>
      <c r="N6" s="24">
        <f>'KBA '!W65</f>
        <v>106.99353906060608</v>
      </c>
      <c r="O6" s="248">
        <v>12</v>
      </c>
      <c r="P6" s="26">
        <f>N6/IF(O6=12,100,100*O6/12)</f>
        <v>1.0699353906060609</v>
      </c>
      <c r="Q6" s="24">
        <f>'KBA '!W50</f>
        <v>111.56004965517238</v>
      </c>
      <c r="R6" s="248">
        <v>12</v>
      </c>
      <c r="S6" s="26">
        <f t="shared" ref="S6:S33" si="3">Q6/IF(R6=12,100,100*R6/12)</f>
        <v>1.1156004965517239</v>
      </c>
      <c r="T6" s="24"/>
      <c r="U6" s="248"/>
      <c r="V6" s="26"/>
    </row>
    <row r="7" spans="1:22">
      <c r="A7" s="22">
        <v>5</v>
      </c>
      <c r="B7" s="38">
        <f>Favorit!W43</f>
        <v>69.683824999999999</v>
      </c>
      <c r="C7" s="248">
        <v>8</v>
      </c>
      <c r="D7" s="26">
        <f t="shared" si="0"/>
        <v>1.0452573749999998</v>
      </c>
      <c r="E7" s="166"/>
      <c r="F7" s="248"/>
      <c r="G7" s="26"/>
      <c r="H7" s="38"/>
      <c r="I7" s="248"/>
      <c r="J7" s="26"/>
      <c r="K7" s="24"/>
      <c r="L7" s="248"/>
      <c r="M7" s="26"/>
      <c r="N7" s="38">
        <f>'KBA '!W77</f>
        <v>100</v>
      </c>
      <c r="O7" s="248">
        <v>12</v>
      </c>
      <c r="P7" s="26">
        <f>N7/IF(O7=12,100,100*O7/12)</f>
        <v>1</v>
      </c>
      <c r="Q7" s="24">
        <f>'KBA '!W76</f>
        <v>100.2739879310345</v>
      </c>
      <c r="R7" s="248">
        <v>12</v>
      </c>
      <c r="S7" s="26">
        <f t="shared" si="3"/>
        <v>1.002739879310345</v>
      </c>
      <c r="T7" s="24"/>
      <c r="U7" s="248"/>
      <c r="V7" s="26"/>
    </row>
    <row r="8" spans="1:22">
      <c r="A8" s="22">
        <v>6</v>
      </c>
      <c r="B8" s="38"/>
      <c r="C8" s="248"/>
      <c r="D8" s="26"/>
      <c r="E8" s="166"/>
      <c r="F8" s="248"/>
      <c r="G8" s="26"/>
      <c r="H8" s="38"/>
      <c r="I8" s="248"/>
      <c r="J8" s="26"/>
      <c r="K8" s="24"/>
      <c r="L8" s="248">
        <v>12.5</v>
      </c>
      <c r="M8" s="26">
        <v>1</v>
      </c>
      <c r="N8" s="24"/>
      <c r="O8" s="248">
        <v>10.5</v>
      </c>
      <c r="P8" s="26">
        <v>1</v>
      </c>
      <c r="Q8" s="24"/>
      <c r="R8" s="248"/>
      <c r="S8" s="26"/>
      <c r="T8" s="24"/>
      <c r="U8" s="248"/>
      <c r="V8" s="26"/>
    </row>
    <row r="9" spans="1:22">
      <c r="A9" s="22">
        <v>7</v>
      </c>
      <c r="B9" s="38"/>
      <c r="C9" s="248"/>
      <c r="D9" s="26"/>
      <c r="E9" s="166"/>
      <c r="F9" s="248"/>
      <c r="G9" s="26"/>
      <c r="H9" s="38"/>
      <c r="I9" s="248"/>
      <c r="J9" s="26"/>
      <c r="K9" s="24"/>
      <c r="L9" s="248"/>
      <c r="M9" s="26"/>
      <c r="N9" s="24"/>
      <c r="O9" s="248"/>
      <c r="P9" s="26"/>
      <c r="Q9" s="24"/>
      <c r="R9" s="248"/>
      <c r="S9" s="26"/>
      <c r="T9" s="24"/>
      <c r="U9" s="248"/>
      <c r="V9" s="26"/>
    </row>
    <row r="10" spans="1:22">
      <c r="A10" s="22">
        <v>8</v>
      </c>
      <c r="B10" s="38">
        <f>Favorit!W68</f>
        <v>102.7827525</v>
      </c>
      <c r="C10" s="248">
        <v>12</v>
      </c>
      <c r="D10" s="26">
        <f t="shared" si="0"/>
        <v>1.027827525</v>
      </c>
      <c r="E10" s="166"/>
      <c r="F10" s="248"/>
      <c r="G10" s="26"/>
      <c r="H10" s="38">
        <f>Favorit!W51</f>
        <v>100</v>
      </c>
      <c r="I10" s="248">
        <v>9</v>
      </c>
      <c r="J10" s="26">
        <v>1</v>
      </c>
      <c r="K10" s="24">
        <f>'KBA '!W103</f>
        <v>117.33009130909089</v>
      </c>
      <c r="L10" s="248">
        <v>12</v>
      </c>
      <c r="M10" s="26">
        <f t="shared" si="2"/>
        <v>1.1733009130909089</v>
      </c>
      <c r="N10" s="38">
        <f>'KBA '!W85</f>
        <v>100</v>
      </c>
      <c r="O10" s="248">
        <v>12</v>
      </c>
      <c r="P10" s="26">
        <v>1</v>
      </c>
      <c r="Q10" s="24"/>
      <c r="R10" s="248"/>
      <c r="S10" s="26"/>
      <c r="T10" s="24"/>
      <c r="U10" s="248"/>
      <c r="V10" s="26"/>
    </row>
    <row r="11" spans="1:22">
      <c r="A11" s="22">
        <v>9</v>
      </c>
      <c r="B11" s="38">
        <f>Favorit!W75</f>
        <v>100</v>
      </c>
      <c r="C11" s="248">
        <v>12</v>
      </c>
      <c r="D11" s="26">
        <f t="shared" si="0"/>
        <v>1</v>
      </c>
      <c r="E11" s="166"/>
      <c r="F11" s="248"/>
      <c r="G11" s="26"/>
      <c r="H11" s="38">
        <f>Favorit!W74</f>
        <v>106.07610555555554</v>
      </c>
      <c r="I11" s="248">
        <v>12</v>
      </c>
      <c r="J11" s="26">
        <f t="shared" ref="J11:J33" si="4">H11/IF(I11=12,100,100*I11/12)</f>
        <v>1.0607610555555553</v>
      </c>
      <c r="K11" s="38">
        <f>'KBA '!W136</f>
        <v>140.74064186666664</v>
      </c>
      <c r="L11" s="248">
        <v>12</v>
      </c>
      <c r="M11" s="26">
        <f t="shared" si="2"/>
        <v>1.4074064186666664</v>
      </c>
      <c r="N11" s="24">
        <f>'KBA '!W111</f>
        <v>100</v>
      </c>
      <c r="O11" s="248">
        <v>12</v>
      </c>
      <c r="P11" s="26">
        <f>N11/IF(O11=12,100,100*O11/12)</f>
        <v>1</v>
      </c>
      <c r="Q11" s="24"/>
      <c r="R11" s="248"/>
      <c r="S11" s="26"/>
      <c r="T11" s="24">
        <f>praktika!W12</f>
        <v>81.282800000000009</v>
      </c>
      <c r="U11" s="248">
        <v>12</v>
      </c>
      <c r="V11" s="26">
        <f>T11/IF(U11=12,100,100*U11/12)</f>
        <v>0.81282800000000011</v>
      </c>
    </row>
    <row r="12" spans="1:22">
      <c r="A12" s="22">
        <v>10</v>
      </c>
      <c r="B12" s="38">
        <v>100</v>
      </c>
      <c r="C12" s="248">
        <v>12</v>
      </c>
      <c r="D12" s="26">
        <f>B12/IF(C12=12,100,100*C12/12)</f>
        <v>1</v>
      </c>
      <c r="E12" s="166">
        <f>Favorit!W82</f>
        <v>105.20804166666667</v>
      </c>
      <c r="F12" s="248">
        <v>12</v>
      </c>
      <c r="G12" s="26">
        <f t="shared" si="1"/>
        <v>1.0520804166666666</v>
      </c>
      <c r="H12" s="38"/>
      <c r="I12" s="248"/>
      <c r="J12" s="26"/>
      <c r="K12" s="24"/>
      <c r="L12" s="248"/>
      <c r="M12" s="26"/>
      <c r="N12" s="38">
        <f>'KBA '!W154</f>
        <v>108.86844322121212</v>
      </c>
      <c r="O12" s="248">
        <v>12.5</v>
      </c>
      <c r="P12" s="26">
        <f t="shared" ref="P12:P31" si="5">N12/IF(O12=12,100,100*O12/12)</f>
        <v>1.0451370549236363</v>
      </c>
      <c r="Q12" s="24">
        <f>'KBA '!W168</f>
        <v>110.50535766666667</v>
      </c>
      <c r="R12" s="248">
        <v>12</v>
      </c>
      <c r="S12" s="26">
        <f t="shared" si="3"/>
        <v>1.1050535766666667</v>
      </c>
      <c r="T12" s="24"/>
      <c r="U12" s="248"/>
      <c r="V12" s="26"/>
    </row>
    <row r="13" spans="1:22">
      <c r="A13" s="22">
        <v>11</v>
      </c>
      <c r="B13" s="38">
        <f>Favorit!W98</f>
        <v>100.78308000000001</v>
      </c>
      <c r="C13" s="248">
        <v>12</v>
      </c>
      <c r="D13" s="26">
        <f t="shared" si="0"/>
        <v>1.0078308</v>
      </c>
      <c r="E13" s="166">
        <f>Favorit!W92</f>
        <v>102.89408</v>
      </c>
      <c r="F13" s="248">
        <v>12</v>
      </c>
      <c r="G13" s="26">
        <f t="shared" si="1"/>
        <v>1.0289408</v>
      </c>
      <c r="H13" s="38"/>
      <c r="I13" s="248"/>
      <c r="J13" s="26"/>
      <c r="K13" s="24"/>
      <c r="L13" s="248"/>
      <c r="M13" s="26"/>
      <c r="N13" s="24">
        <f>'KBA '!W187</f>
        <v>104.28434090909089</v>
      </c>
      <c r="O13" s="248">
        <v>12</v>
      </c>
      <c r="P13" s="26">
        <f t="shared" si="5"/>
        <v>1.0428434090909089</v>
      </c>
      <c r="Q13" s="24">
        <f>'KBA '!W209</f>
        <v>132.5138389</v>
      </c>
      <c r="R13" s="248">
        <v>12</v>
      </c>
      <c r="S13" s="26">
        <f t="shared" si="3"/>
        <v>1.3251383889999999</v>
      </c>
      <c r="T13" s="24"/>
      <c r="U13" s="248"/>
      <c r="V13" s="26"/>
    </row>
    <row r="14" spans="1:22">
      <c r="A14" s="22">
        <v>12</v>
      </c>
      <c r="B14" s="38"/>
      <c r="C14" s="248"/>
      <c r="D14" s="26"/>
      <c r="E14" s="166">
        <v>100</v>
      </c>
      <c r="F14" s="248">
        <v>12</v>
      </c>
      <c r="G14" s="26">
        <f t="shared" si="1"/>
        <v>1</v>
      </c>
      <c r="H14" s="38"/>
      <c r="I14" s="248"/>
      <c r="J14" s="26"/>
      <c r="K14" s="38">
        <f>'KBA '!W236</f>
        <v>150.94396158787882</v>
      </c>
      <c r="L14" s="248">
        <v>12.5</v>
      </c>
      <c r="M14" s="26">
        <f t="shared" si="2"/>
        <v>1.4490620312436366</v>
      </c>
      <c r="N14" s="24"/>
      <c r="O14" s="248"/>
      <c r="P14" s="26"/>
      <c r="Q14" s="38">
        <f>'KBA '!W258</f>
        <v>106.56389012643676</v>
      </c>
      <c r="R14" s="248">
        <v>11</v>
      </c>
      <c r="S14" s="26">
        <f t="shared" si="3"/>
        <v>1.1625151650156738</v>
      </c>
      <c r="T14" s="24"/>
      <c r="U14" s="248"/>
      <c r="V14" s="26"/>
    </row>
    <row r="15" spans="1:22">
      <c r="A15" s="22">
        <v>13</v>
      </c>
      <c r="B15" s="38"/>
      <c r="C15" s="248"/>
      <c r="D15" s="26"/>
      <c r="E15" s="166">
        <v>100</v>
      </c>
      <c r="F15" s="248">
        <v>12</v>
      </c>
      <c r="G15" s="26">
        <f t="shared" si="1"/>
        <v>1</v>
      </c>
      <c r="H15" s="38">
        <f>Favorit!W117</f>
        <v>103.69276500000001</v>
      </c>
      <c r="I15" s="248">
        <v>12</v>
      </c>
      <c r="J15" s="26">
        <f t="shared" si="4"/>
        <v>1.03692765</v>
      </c>
      <c r="K15" s="38">
        <f>'KBA '!W281</f>
        <v>93.795040181818166</v>
      </c>
      <c r="L15" s="248">
        <v>12.5</v>
      </c>
      <c r="M15" s="26">
        <f t="shared" si="2"/>
        <v>0.90043238574545437</v>
      </c>
      <c r="N15" s="75"/>
      <c r="O15" s="248"/>
      <c r="P15" s="26"/>
      <c r="Q15" s="24">
        <f>'KBA '!W288</f>
        <v>100.17189127272727</v>
      </c>
      <c r="R15" s="248">
        <v>12</v>
      </c>
      <c r="S15" s="26">
        <f t="shared" si="3"/>
        <v>1.0017189127272728</v>
      </c>
      <c r="T15" s="24"/>
      <c r="U15" s="248"/>
      <c r="V15" s="26"/>
    </row>
    <row r="16" spans="1:22">
      <c r="A16" s="22">
        <v>14</v>
      </c>
      <c r="B16" s="38">
        <f>Favorit!W119</f>
        <v>100</v>
      </c>
      <c r="C16" s="248">
        <v>12</v>
      </c>
      <c r="D16" s="26">
        <f t="shared" si="0"/>
        <v>1</v>
      </c>
      <c r="E16" s="166"/>
      <c r="F16" s="248"/>
      <c r="G16" s="26"/>
      <c r="H16" s="38">
        <f>Favorit!W129</f>
        <v>121.1123511</v>
      </c>
      <c r="I16" s="248">
        <v>12.5</v>
      </c>
      <c r="J16" s="26">
        <f t="shared" si="4"/>
        <v>1.16267857056</v>
      </c>
      <c r="K16" s="24">
        <v>100</v>
      </c>
      <c r="L16" s="248">
        <v>12.5</v>
      </c>
      <c r="M16" s="26">
        <f t="shared" si="2"/>
        <v>0.96</v>
      </c>
      <c r="N16" s="24">
        <f>'KBA '!W311</f>
        <v>91.076734433333314</v>
      </c>
      <c r="O16" s="248">
        <v>12</v>
      </c>
      <c r="P16" s="26">
        <f t="shared" si="5"/>
        <v>0.91076734433333317</v>
      </c>
      <c r="Q16" s="24"/>
      <c r="R16" s="248"/>
      <c r="S16" s="26"/>
      <c r="U16" s="248"/>
      <c r="V16" s="26"/>
    </row>
    <row r="17" spans="1:22">
      <c r="A17" s="22">
        <v>15</v>
      </c>
      <c r="B17" s="38">
        <f>Favorit!W134</f>
        <v>42.468357500000003</v>
      </c>
      <c r="C17" s="248">
        <v>5</v>
      </c>
      <c r="D17" s="26">
        <v>1</v>
      </c>
      <c r="E17" s="166"/>
      <c r="F17" s="248"/>
      <c r="G17" s="26"/>
      <c r="H17" s="38">
        <f>Favorit!W146</f>
        <v>107.66709288888889</v>
      </c>
      <c r="I17" s="248">
        <v>12</v>
      </c>
      <c r="J17" s="26">
        <f t="shared" si="4"/>
        <v>1.0766709288888889</v>
      </c>
      <c r="K17" s="24">
        <f>'KBA '!W325</f>
        <v>133.76013799999998</v>
      </c>
      <c r="L17" s="248">
        <v>12</v>
      </c>
      <c r="M17" s="26">
        <f t="shared" si="2"/>
        <v>1.3376013799999997</v>
      </c>
      <c r="N17" s="28">
        <f>'KBA '!W352</f>
        <v>142.78769055666669</v>
      </c>
      <c r="O17" s="248">
        <v>12.5</v>
      </c>
      <c r="P17" s="26">
        <f t="shared" si="5"/>
        <v>1.3707618293440003</v>
      </c>
      <c r="Q17" s="24"/>
      <c r="R17" s="248"/>
      <c r="S17" s="26"/>
      <c r="T17" s="24">
        <f>praktika!W31</f>
        <v>84.980715733333341</v>
      </c>
      <c r="U17" s="248">
        <v>10</v>
      </c>
      <c r="V17" s="26">
        <f t="shared" ref="V17:V26" si="6">T17/IF(U17=12,100,100*U17/12)</f>
        <v>1.0197685888000001</v>
      </c>
    </row>
    <row r="18" spans="1:22">
      <c r="A18" s="22">
        <v>16</v>
      </c>
      <c r="B18" s="38">
        <v>100</v>
      </c>
      <c r="C18" s="248">
        <v>12</v>
      </c>
      <c r="D18" s="26">
        <f t="shared" si="0"/>
        <v>1</v>
      </c>
      <c r="E18" s="166">
        <f>Favorit!W157</f>
        <v>91.78984777777778</v>
      </c>
      <c r="F18" s="248">
        <v>12.5</v>
      </c>
      <c r="G18" s="26">
        <f t="shared" si="1"/>
        <v>0.88118253866666663</v>
      </c>
      <c r="H18" s="38"/>
      <c r="I18" s="248"/>
      <c r="J18" s="26"/>
      <c r="K18" s="24"/>
      <c r="L18" s="248"/>
      <c r="M18" s="26"/>
      <c r="N18" s="40">
        <f>'KBA '!W397</f>
        <v>118.71110749393941</v>
      </c>
      <c r="O18" s="248">
        <v>12.5</v>
      </c>
      <c r="P18" s="26">
        <f t="shared" si="5"/>
        <v>1.1396266319418182</v>
      </c>
      <c r="Q18" s="29">
        <f>'KBA '!W377</f>
        <v>123.55023460919537</v>
      </c>
      <c r="R18" s="248">
        <v>12</v>
      </c>
      <c r="S18" s="26">
        <f t="shared" si="3"/>
        <v>1.2355023460919536</v>
      </c>
      <c r="T18">
        <f>praktika!W40</f>
        <v>69.343144999999993</v>
      </c>
      <c r="U18" s="248">
        <v>7</v>
      </c>
      <c r="V18" s="26">
        <f t="shared" si="6"/>
        <v>1.1887396285714285</v>
      </c>
    </row>
    <row r="19" spans="1:22">
      <c r="A19" s="22">
        <v>17</v>
      </c>
      <c r="B19" s="38">
        <f>Favorit!W169</f>
        <v>95.901360000000011</v>
      </c>
      <c r="C19" s="248">
        <v>12</v>
      </c>
      <c r="D19" s="26">
        <f t="shared" si="0"/>
        <v>0.95901360000000013</v>
      </c>
      <c r="E19" s="166">
        <f>Favorit!W184</f>
        <v>84.591590100000005</v>
      </c>
      <c r="F19" s="248">
        <v>12</v>
      </c>
      <c r="G19" s="26">
        <f t="shared" si="1"/>
        <v>0.84591590100000003</v>
      </c>
      <c r="H19" s="38"/>
      <c r="I19" s="248"/>
      <c r="J19" s="26"/>
      <c r="K19" s="24"/>
      <c r="L19" s="248"/>
      <c r="M19" s="26"/>
      <c r="N19" s="25">
        <f>'KBA '!W448</f>
        <v>115.03677627586207</v>
      </c>
      <c r="O19" s="248">
        <v>12</v>
      </c>
      <c r="P19" s="26">
        <f t="shared" si="5"/>
        <v>1.1503677627586206</v>
      </c>
      <c r="Q19" s="29">
        <f>'KBA '!W423</f>
        <v>117.13067411180774</v>
      </c>
      <c r="R19" s="248">
        <v>12</v>
      </c>
      <c r="S19" s="26">
        <f t="shared" si="3"/>
        <v>1.1713067411180773</v>
      </c>
      <c r="T19" s="24"/>
      <c r="U19" s="248"/>
      <c r="V19" s="26"/>
    </row>
    <row r="20" spans="1:22">
      <c r="A20" s="22">
        <v>18</v>
      </c>
      <c r="B20" s="38"/>
      <c r="C20" s="248"/>
      <c r="D20" s="26"/>
      <c r="E20" s="166">
        <f>Favorit!W203</f>
        <v>110.98489444333333</v>
      </c>
      <c r="F20" s="248">
        <v>12</v>
      </c>
      <c r="G20" s="26">
        <f t="shared" si="1"/>
        <v>1.1098489444333333</v>
      </c>
      <c r="H20" s="38">
        <f>Favorit!W196</f>
        <v>95.901409999999998</v>
      </c>
      <c r="I20" s="248">
        <v>12.5</v>
      </c>
      <c r="J20" s="26">
        <f t="shared" si="4"/>
        <v>0.92065353599999999</v>
      </c>
      <c r="K20" s="24">
        <f>'KBA '!W462</f>
        <v>100</v>
      </c>
      <c r="L20" s="248">
        <v>12</v>
      </c>
      <c r="M20" s="26">
        <f t="shared" si="2"/>
        <v>1</v>
      </c>
      <c r="N20" s="188"/>
      <c r="O20" s="248"/>
      <c r="P20" s="26"/>
      <c r="Q20" s="39">
        <f>'KBA '!W461</f>
        <v>104.74806201253918</v>
      </c>
      <c r="R20" s="248">
        <v>12</v>
      </c>
      <c r="S20" s="26">
        <f t="shared" si="3"/>
        <v>1.0474806201253919</v>
      </c>
      <c r="T20" s="24"/>
      <c r="U20" s="248"/>
      <c r="V20" s="26"/>
    </row>
    <row r="21" spans="1:22">
      <c r="A21" s="22">
        <v>19</v>
      </c>
      <c r="B21" s="38"/>
      <c r="C21" s="248"/>
      <c r="D21" s="26"/>
      <c r="E21" s="166"/>
      <c r="F21" s="248">
        <v>12.5</v>
      </c>
      <c r="G21" s="26">
        <v>1</v>
      </c>
      <c r="H21" s="38"/>
      <c r="I21" s="248">
        <v>7</v>
      </c>
      <c r="J21" s="26">
        <v>1</v>
      </c>
      <c r="K21" s="38">
        <f>'KBA '!W465</f>
        <v>100</v>
      </c>
      <c r="L21" s="248">
        <v>12</v>
      </c>
      <c r="M21" s="26">
        <f t="shared" si="2"/>
        <v>1</v>
      </c>
      <c r="N21" s="25"/>
      <c r="O21" s="248"/>
      <c r="P21" s="26"/>
      <c r="Q21" s="29"/>
      <c r="R21" s="248"/>
      <c r="S21" s="26"/>
      <c r="T21" s="24"/>
      <c r="U21" s="248"/>
      <c r="V21" s="26"/>
    </row>
    <row r="22" spans="1:22">
      <c r="A22" s="22">
        <v>20</v>
      </c>
      <c r="B22" s="38">
        <f>Favorit!W216</f>
        <v>94.953396666666663</v>
      </c>
      <c r="C22" s="248">
        <v>12</v>
      </c>
      <c r="D22" s="26">
        <f t="shared" si="0"/>
        <v>0.94953396666666667</v>
      </c>
      <c r="E22" s="246"/>
      <c r="F22" s="248"/>
      <c r="G22" s="26"/>
      <c r="H22" s="38">
        <f>Favorit!W206</f>
        <v>100</v>
      </c>
      <c r="I22" s="248">
        <v>12</v>
      </c>
      <c r="J22" s="26">
        <f t="shared" si="4"/>
        <v>1</v>
      </c>
      <c r="K22" s="38">
        <f>'KBA '!W469</f>
        <v>100</v>
      </c>
      <c r="L22" s="248">
        <v>12</v>
      </c>
      <c r="M22" s="26">
        <f t="shared" si="2"/>
        <v>1</v>
      </c>
      <c r="N22" s="25">
        <f>'KBA '!W467</f>
        <v>100</v>
      </c>
      <c r="O22" s="248">
        <v>12</v>
      </c>
      <c r="P22" s="26">
        <f t="shared" si="5"/>
        <v>1</v>
      </c>
      <c r="R22" s="248"/>
      <c r="S22" s="26"/>
      <c r="T22" s="24"/>
      <c r="U22" s="248"/>
      <c r="V22" s="26"/>
    </row>
    <row r="23" spans="1:22">
      <c r="A23" s="22">
        <v>21</v>
      </c>
      <c r="B23" s="38">
        <f>Favorit!W244</f>
        <v>107.12535500000001</v>
      </c>
      <c r="C23" s="248">
        <v>12</v>
      </c>
      <c r="D23" s="26">
        <f t="shared" si="0"/>
        <v>1.0712535500000002</v>
      </c>
      <c r="E23" s="166"/>
      <c r="F23" s="248"/>
      <c r="G23" s="26"/>
      <c r="H23" s="38">
        <f>Favorit!W233</f>
        <v>110.11654266666669</v>
      </c>
      <c r="I23" s="248">
        <v>12</v>
      </c>
      <c r="J23" s="26">
        <f t="shared" si="4"/>
        <v>1.1011654266666668</v>
      </c>
      <c r="K23" s="38">
        <f>'KBA '!W511</f>
        <v>124.82758777575756</v>
      </c>
      <c r="L23" s="248">
        <v>12</v>
      </c>
      <c r="M23" s="26">
        <f t="shared" si="2"/>
        <v>1.2482758777575755</v>
      </c>
      <c r="N23" s="25">
        <f>'KBA '!W487</f>
        <v>109.91998733333332</v>
      </c>
      <c r="O23" s="248">
        <v>12</v>
      </c>
      <c r="P23" s="26">
        <f t="shared" si="5"/>
        <v>1.0991998733333332</v>
      </c>
      <c r="Q23" s="54"/>
      <c r="R23" s="248"/>
      <c r="S23" s="26"/>
      <c r="T23" s="24"/>
      <c r="U23" s="248"/>
      <c r="V23" s="26"/>
    </row>
    <row r="24" spans="1:22">
      <c r="A24" s="22">
        <v>22</v>
      </c>
      <c r="B24" s="38">
        <f>Favorit!W263</f>
        <v>122.99052500000002</v>
      </c>
      <c r="C24" s="248">
        <v>12.5</v>
      </c>
      <c r="D24" s="26">
        <f t="shared" si="0"/>
        <v>1.1807090400000002</v>
      </c>
      <c r="E24" s="166">
        <f>Favorit!W257</f>
        <v>122.72556500000002</v>
      </c>
      <c r="F24" s="248">
        <v>12</v>
      </c>
      <c r="G24" s="26">
        <f t="shared" si="1"/>
        <v>1.2272556500000003</v>
      </c>
      <c r="H24" s="38"/>
      <c r="I24" s="248"/>
      <c r="J24" s="26"/>
      <c r="K24" s="24"/>
      <c r="L24" s="248"/>
      <c r="M24" s="26"/>
      <c r="N24" s="25">
        <f>'KBA '!W538</f>
        <v>121.45643648484848</v>
      </c>
      <c r="O24" s="248">
        <v>12.5</v>
      </c>
      <c r="P24" s="26">
        <f t="shared" si="5"/>
        <v>1.1659817902545453</v>
      </c>
      <c r="Q24" s="29">
        <f>'KBA '!W561</f>
        <v>133.4049116471264</v>
      </c>
      <c r="R24" s="248">
        <v>12</v>
      </c>
      <c r="S24" s="26">
        <f t="shared" si="3"/>
        <v>1.334049116471264</v>
      </c>
      <c r="T24" s="24">
        <f>praktika!W56</f>
        <v>17.736104166666667</v>
      </c>
      <c r="U24" s="248">
        <v>1.5</v>
      </c>
      <c r="V24" s="26">
        <f t="shared" si="6"/>
        <v>1.4188883333333333</v>
      </c>
    </row>
    <row r="25" spans="1:22">
      <c r="A25" s="22">
        <v>23</v>
      </c>
      <c r="B25" s="38">
        <f>Favorit!W287</f>
        <v>102.73897500000001</v>
      </c>
      <c r="C25" s="248">
        <v>12.5</v>
      </c>
      <c r="D25" s="26">
        <f t="shared" si="0"/>
        <v>0.98629416000000003</v>
      </c>
      <c r="E25" s="166">
        <f>Favorit!W279</f>
        <v>113.67398350000002</v>
      </c>
      <c r="F25" s="248">
        <v>12</v>
      </c>
      <c r="G25" s="26">
        <f t="shared" si="1"/>
        <v>1.1367398350000002</v>
      </c>
      <c r="H25" s="38"/>
      <c r="I25" s="248"/>
      <c r="J25" s="26"/>
      <c r="K25" s="38"/>
      <c r="L25" s="248"/>
      <c r="M25" s="26"/>
      <c r="N25" s="40">
        <f>'KBA '!W587</f>
        <v>134.98896769696969</v>
      </c>
      <c r="O25" s="248">
        <v>12</v>
      </c>
      <c r="P25" s="26">
        <f t="shared" si="5"/>
        <v>1.3498896769696969</v>
      </c>
      <c r="Q25" s="29">
        <f>'KBA '!W605</f>
        <v>110.67888567575758</v>
      </c>
      <c r="R25" s="248">
        <v>12</v>
      </c>
      <c r="S25" s="26">
        <f t="shared" si="3"/>
        <v>1.1067888567575759</v>
      </c>
      <c r="T25" s="24"/>
      <c r="U25" s="248"/>
      <c r="V25" s="26"/>
    </row>
    <row r="26" spans="1:22">
      <c r="A26" s="22">
        <v>24</v>
      </c>
      <c r="B26" s="38"/>
      <c r="C26" s="248"/>
      <c r="D26" s="26"/>
      <c r="E26" s="166">
        <f>Favorit!W305</f>
        <v>109.20907833333335</v>
      </c>
      <c r="F26" s="248">
        <v>12</v>
      </c>
      <c r="G26" s="26">
        <f t="shared" si="1"/>
        <v>1.0920907833333335</v>
      </c>
      <c r="H26" s="38">
        <f>Favorit!W319</f>
        <v>136.20761999999999</v>
      </c>
      <c r="I26" s="248">
        <v>12</v>
      </c>
      <c r="J26" s="26">
        <f t="shared" si="4"/>
        <v>1.3620762</v>
      </c>
      <c r="K26" s="38">
        <f>'KBA '!W631</f>
        <v>156.62407254545454</v>
      </c>
      <c r="L26" s="248">
        <v>12</v>
      </c>
      <c r="M26" s="26">
        <f t="shared" si="2"/>
        <v>1.5662407254545454</v>
      </c>
      <c r="N26" s="25"/>
      <c r="O26" s="248"/>
      <c r="P26" s="26"/>
      <c r="Q26" s="29">
        <f>'KBA '!W654</f>
        <v>129.37991088011495</v>
      </c>
      <c r="R26" s="248">
        <v>12</v>
      </c>
      <c r="S26" s="26">
        <f t="shared" si="3"/>
        <v>1.2937991088011496</v>
      </c>
      <c r="T26" s="24">
        <f>praktika!W68</f>
        <v>94.907506666666649</v>
      </c>
      <c r="U26" s="248">
        <v>9</v>
      </c>
      <c r="V26" s="26">
        <f t="shared" si="6"/>
        <v>1.2654334222222219</v>
      </c>
    </row>
    <row r="27" spans="1:22">
      <c r="A27" s="22">
        <v>25</v>
      </c>
      <c r="B27" s="38"/>
      <c r="C27" s="248"/>
      <c r="D27" s="26"/>
      <c r="E27" s="166">
        <f>Favorit!W329</f>
        <v>72.999970000000005</v>
      </c>
      <c r="F27" s="248">
        <v>11</v>
      </c>
      <c r="G27" s="26">
        <f t="shared" si="1"/>
        <v>0.79636330909090913</v>
      </c>
      <c r="H27" s="38"/>
      <c r="I27" s="248">
        <v>12</v>
      </c>
      <c r="J27" s="26">
        <v>1</v>
      </c>
      <c r="K27" s="38">
        <f>'KBA '!W673</f>
        <v>126.23520018484848</v>
      </c>
      <c r="L27" s="248">
        <v>12</v>
      </c>
      <c r="M27" s="26">
        <f t="shared" si="2"/>
        <v>1.2623520018484848</v>
      </c>
      <c r="N27" s="40"/>
      <c r="O27" s="248"/>
      <c r="P27" s="26"/>
      <c r="Q27" s="29">
        <f>'KBA '!W674</f>
        <v>100</v>
      </c>
      <c r="R27" s="248">
        <v>10.5</v>
      </c>
      <c r="S27" s="26">
        <f t="shared" si="3"/>
        <v>1.1428571428571428</v>
      </c>
      <c r="T27" s="24"/>
      <c r="U27" s="248"/>
      <c r="V27" s="26"/>
    </row>
    <row r="28" spans="1:22">
      <c r="A28" s="22">
        <v>26</v>
      </c>
      <c r="B28" s="38">
        <f>Favorit!W331</f>
        <v>100</v>
      </c>
      <c r="C28" s="248">
        <v>12</v>
      </c>
      <c r="D28" s="26">
        <f t="shared" si="0"/>
        <v>1</v>
      </c>
      <c r="E28" s="166"/>
      <c r="F28" s="248"/>
      <c r="G28" s="26"/>
      <c r="H28" s="38"/>
      <c r="I28" s="248">
        <v>12</v>
      </c>
      <c r="J28" s="26">
        <v>1</v>
      </c>
      <c r="K28" s="38">
        <f>'KBA '!W676</f>
        <v>100</v>
      </c>
      <c r="L28" s="248">
        <v>12.5</v>
      </c>
      <c r="M28" s="26">
        <f t="shared" si="2"/>
        <v>0.96</v>
      </c>
      <c r="N28">
        <f>'KBA '!W678</f>
        <v>100</v>
      </c>
      <c r="O28" s="248">
        <v>12</v>
      </c>
      <c r="P28" s="26">
        <f t="shared" si="5"/>
        <v>1</v>
      </c>
      <c r="Q28" s="29"/>
      <c r="R28" s="248"/>
      <c r="S28" s="26"/>
      <c r="T28" s="24"/>
      <c r="U28" s="248"/>
      <c r="V28" s="26"/>
    </row>
    <row r="29" spans="1:22">
      <c r="A29" s="22">
        <v>27</v>
      </c>
      <c r="B29" s="38">
        <f>Favorit!W334</f>
        <v>100</v>
      </c>
      <c r="C29" s="248">
        <v>12</v>
      </c>
      <c r="D29" s="26">
        <f t="shared" si="0"/>
        <v>1</v>
      </c>
      <c r="E29" s="166"/>
      <c r="F29" s="248"/>
      <c r="G29" s="26"/>
      <c r="H29" s="76">
        <f>Favorit!W342</f>
        <v>107.1958888888889</v>
      </c>
      <c r="I29" s="248">
        <v>11.5</v>
      </c>
      <c r="J29" s="26">
        <f t="shared" si="4"/>
        <v>1.1185657971014495</v>
      </c>
      <c r="K29" s="38">
        <f>'KBA '!W680</f>
        <v>100</v>
      </c>
      <c r="L29" s="248">
        <v>12</v>
      </c>
      <c r="M29" s="26">
        <f t="shared" si="2"/>
        <v>1</v>
      </c>
      <c r="N29" s="40">
        <f>'KBA '!W694</f>
        <v>104.23826123333335</v>
      </c>
      <c r="O29" s="248">
        <v>12.5</v>
      </c>
      <c r="P29" s="26">
        <f t="shared" si="5"/>
        <v>1.00068730784</v>
      </c>
      <c r="Q29" s="33"/>
      <c r="R29" s="248"/>
      <c r="S29" s="26"/>
      <c r="T29" s="24"/>
      <c r="U29" s="248"/>
      <c r="V29" s="26"/>
    </row>
    <row r="30" spans="1:22">
      <c r="A30" s="22">
        <v>28</v>
      </c>
      <c r="B30" s="38">
        <f>Favorit!W343</f>
        <v>100</v>
      </c>
      <c r="C30" s="248">
        <v>11.5</v>
      </c>
      <c r="D30" s="26">
        <f t="shared" si="0"/>
        <v>1.0434782608695652</v>
      </c>
      <c r="E30" s="167"/>
      <c r="F30" s="248"/>
      <c r="G30" s="26"/>
      <c r="H30" s="38"/>
      <c r="I30" s="248"/>
      <c r="J30" s="26"/>
      <c r="K30" s="38"/>
      <c r="L30" s="248"/>
      <c r="M30" s="26"/>
      <c r="N30" s="40">
        <f>'KBA '!W736</f>
        <v>140.54229621212122</v>
      </c>
      <c r="O30" s="248">
        <v>13</v>
      </c>
      <c r="P30" s="26">
        <f t="shared" si="5"/>
        <v>1.2973135034965035</v>
      </c>
      <c r="Q30" s="54">
        <f>'KBA '!W711</f>
        <v>109.9623011</v>
      </c>
      <c r="R30" s="248">
        <v>12</v>
      </c>
      <c r="S30" s="26">
        <f t="shared" si="3"/>
        <v>1.099623011</v>
      </c>
      <c r="T30" s="24"/>
      <c r="U30" s="248"/>
      <c r="V30" s="26"/>
    </row>
    <row r="31" spans="1:22">
      <c r="A31" s="22">
        <v>29</v>
      </c>
      <c r="B31" s="38">
        <f>Favorit!W354</f>
        <v>105.99548300000002</v>
      </c>
      <c r="C31" s="248">
        <v>12</v>
      </c>
      <c r="D31" s="26">
        <f t="shared" si="0"/>
        <v>1.0599548300000001</v>
      </c>
      <c r="E31" s="166"/>
      <c r="F31" s="248"/>
      <c r="G31" s="26"/>
      <c r="H31" s="38"/>
      <c r="I31" s="248"/>
      <c r="J31" s="26"/>
      <c r="K31" s="38"/>
      <c r="L31" s="248"/>
      <c r="M31" s="26"/>
      <c r="N31" s="25">
        <f>'KBA '!W775</f>
        <v>124.25715691640544</v>
      </c>
      <c r="O31" s="248">
        <v>12.5</v>
      </c>
      <c r="P31" s="26">
        <f t="shared" si="5"/>
        <v>1.1928687063974921</v>
      </c>
      <c r="Q31" s="29">
        <f>'KBA '!W756</f>
        <v>91.874567520376175</v>
      </c>
      <c r="R31" s="248">
        <v>12</v>
      </c>
      <c r="S31" s="26">
        <f t="shared" si="3"/>
        <v>0.91874567520376171</v>
      </c>
      <c r="T31" s="24"/>
      <c r="U31" s="248"/>
      <c r="V31" s="26"/>
    </row>
    <row r="32" spans="1:22">
      <c r="A32" s="22">
        <v>30</v>
      </c>
      <c r="B32" s="38"/>
      <c r="C32" s="185"/>
      <c r="D32" s="26"/>
      <c r="E32" s="166"/>
      <c r="F32" s="248">
        <v>12</v>
      </c>
      <c r="G32" s="26">
        <v>1</v>
      </c>
      <c r="H32" s="38">
        <f>Favorit!W363</f>
        <v>105.86230500000001</v>
      </c>
      <c r="I32" s="248">
        <v>12</v>
      </c>
      <c r="J32" s="26">
        <f t="shared" si="4"/>
        <v>1.05862305</v>
      </c>
      <c r="K32" s="38">
        <f>'KBA '!W811</f>
        <v>122.17879842988499</v>
      </c>
      <c r="L32" s="248">
        <v>12</v>
      </c>
      <c r="M32" s="26">
        <f t="shared" si="2"/>
        <v>1.2217879842988499</v>
      </c>
      <c r="N32" s="25"/>
      <c r="O32" s="248"/>
      <c r="P32" s="26"/>
      <c r="Q32" s="29">
        <f>'KBA '!W793</f>
        <v>117.76964418022989</v>
      </c>
      <c r="R32" s="248">
        <v>12</v>
      </c>
      <c r="S32" s="26">
        <f t="shared" si="3"/>
        <v>1.1776964418022988</v>
      </c>
      <c r="T32" s="24"/>
      <c r="U32" s="248">
        <v>10.5</v>
      </c>
      <c r="V32" s="26">
        <v>1</v>
      </c>
    </row>
    <row r="33" spans="1:22">
      <c r="A33" s="22">
        <v>31</v>
      </c>
      <c r="B33" s="38"/>
      <c r="C33" s="185"/>
      <c r="D33" s="26"/>
      <c r="E33" s="166">
        <f>Favorit!W386</f>
        <v>104.81899833333334</v>
      </c>
      <c r="F33" s="248">
        <v>12</v>
      </c>
      <c r="G33" s="26">
        <f t="shared" si="1"/>
        <v>1.0481899833333335</v>
      </c>
      <c r="H33" s="38">
        <f>Favorit!W375</f>
        <v>100</v>
      </c>
      <c r="I33" s="248">
        <v>12</v>
      </c>
      <c r="J33" s="26">
        <f t="shared" si="4"/>
        <v>1</v>
      </c>
      <c r="K33" s="38">
        <f>'KBA '!W862</f>
        <v>136.44986198578891</v>
      </c>
      <c r="L33" s="248">
        <v>12.5</v>
      </c>
      <c r="M33" s="26">
        <f t="shared" si="2"/>
        <v>1.3099186750635736</v>
      </c>
      <c r="N33" s="25"/>
      <c r="P33" s="26"/>
      <c r="Q33" s="29">
        <f>'KBA '!W832</f>
        <v>95.584747889237207</v>
      </c>
      <c r="R33" s="248">
        <v>12</v>
      </c>
      <c r="S33" s="26">
        <f t="shared" si="3"/>
        <v>0.95584747889237209</v>
      </c>
      <c r="T33" s="24"/>
      <c r="U33" s="248">
        <v>11</v>
      </c>
      <c r="V33" s="26">
        <v>1</v>
      </c>
    </row>
    <row r="34" spans="1:22" ht="16.5" thickBot="1">
      <c r="A34" s="11"/>
      <c r="B34" s="30"/>
      <c r="C34" s="31">
        <f>COUNT(C3:C33)</f>
        <v>19</v>
      </c>
      <c r="D34" s="32">
        <f>SUM(D3:D33)/C34</f>
        <v>0.96163282437325204</v>
      </c>
      <c r="E34" s="165"/>
      <c r="F34" s="31">
        <f>COUNT(F3:F33)</f>
        <v>16</v>
      </c>
      <c r="G34" s="32">
        <f>SUM(G3:G33)/F34</f>
        <v>1.0267115340188762</v>
      </c>
      <c r="H34" s="30"/>
      <c r="I34" s="31">
        <f>COUNT(I3:I33)</f>
        <v>15</v>
      </c>
      <c r="J34" s="32">
        <f>SUM(J3:J33)/I34</f>
        <v>1.0598748143181707</v>
      </c>
      <c r="K34" s="30"/>
      <c r="L34" s="31">
        <f>COUNT(L3:L33)</f>
        <v>18</v>
      </c>
      <c r="M34" s="32">
        <f>SUM(M3:M33)/L34</f>
        <v>1.1574808114050503</v>
      </c>
      <c r="N34" s="30"/>
      <c r="O34" s="31">
        <f>COUNT(O3:O32)</f>
        <v>20</v>
      </c>
      <c r="P34" s="32">
        <f>SUM(P3:P33)/O34</f>
        <v>1.0936604212978307</v>
      </c>
      <c r="Q34" s="30"/>
      <c r="R34" s="31">
        <f>COUNT(R3:R33)</f>
        <v>17</v>
      </c>
      <c r="S34" s="32">
        <f>SUM(S3:S33)/R34</f>
        <v>1.1292037034348628</v>
      </c>
      <c r="T34" s="30"/>
      <c r="U34" s="31">
        <f>COUNT(U3:U33)</f>
        <v>7</v>
      </c>
      <c r="V34" s="32">
        <f>SUM(V3:V33)/U34</f>
        <v>1.100808281846712</v>
      </c>
    </row>
    <row r="37" spans="1:22">
      <c r="B37" s="53"/>
      <c r="C37" s="53"/>
    </row>
    <row r="38" spans="1:22">
      <c r="B38" s="53"/>
    </row>
    <row r="39" spans="1:22">
      <c r="B39" s="53"/>
    </row>
  </sheetData>
  <mergeCells count="1">
    <mergeCell ref="B1:S1"/>
  </mergeCells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7"/>
  <sheetViews>
    <sheetView topLeftCell="A163" workbookViewId="0">
      <selection activeCell="A182" sqref="A182:F192"/>
    </sheetView>
  </sheetViews>
  <sheetFormatPr defaultRowHeight="15"/>
  <cols>
    <col min="1" max="1" width="42.5703125" customWidth="1"/>
    <col min="2" max="2" width="21.28515625" customWidth="1"/>
    <col min="3" max="3" width="11.5703125" bestFit="1" customWidth="1"/>
  </cols>
  <sheetData>
    <row r="1" spans="1:2">
      <c r="A1" s="9" t="s">
        <v>54</v>
      </c>
      <c r="B1" s="9" t="s">
        <v>55</v>
      </c>
    </row>
    <row r="2" spans="1:2">
      <c r="A2" s="9">
        <v>110</v>
      </c>
      <c r="B2" s="9" t="s">
        <v>56</v>
      </c>
    </row>
    <row r="3" spans="1:2">
      <c r="A3" s="9">
        <v>112</v>
      </c>
      <c r="B3" s="9" t="s">
        <v>56</v>
      </c>
    </row>
    <row r="4" spans="1:2">
      <c r="A4" s="9">
        <v>114</v>
      </c>
      <c r="B4" s="9" t="s">
        <v>57</v>
      </c>
    </row>
    <row r="5" spans="1:2">
      <c r="A5" s="9">
        <v>133</v>
      </c>
      <c r="B5" s="9" t="s">
        <v>57</v>
      </c>
    </row>
    <row r="6" spans="1:2">
      <c r="A6" s="9">
        <v>137</v>
      </c>
      <c r="B6" s="9" t="s">
        <v>58</v>
      </c>
    </row>
    <row r="7" spans="1:2">
      <c r="A7" s="9">
        <v>138</v>
      </c>
      <c r="B7" s="9" t="s">
        <v>58</v>
      </c>
    </row>
    <row r="8" spans="1:2">
      <c r="A8" s="9">
        <v>118</v>
      </c>
      <c r="B8" s="9" t="s">
        <v>59</v>
      </c>
    </row>
    <row r="9" spans="1:2">
      <c r="A9" s="9">
        <v>119</v>
      </c>
      <c r="B9" s="9" t="s">
        <v>59</v>
      </c>
    </row>
    <row r="10" spans="1:2">
      <c r="A10" s="9">
        <v>126</v>
      </c>
      <c r="B10" s="9" t="s">
        <v>60</v>
      </c>
    </row>
    <row r="11" spans="1:2">
      <c r="A11" s="9">
        <v>127</v>
      </c>
      <c r="B11" s="9" t="s">
        <v>60</v>
      </c>
    </row>
    <row r="12" spans="1:2">
      <c r="A12" s="9">
        <v>129</v>
      </c>
      <c r="B12" s="9" t="s">
        <v>61</v>
      </c>
    </row>
    <row r="13" spans="1:2">
      <c r="A13" s="9">
        <v>134</v>
      </c>
      <c r="B13" s="9" t="s">
        <v>61</v>
      </c>
    </row>
    <row r="14" spans="1:2">
      <c r="A14" s="9">
        <v>132</v>
      </c>
      <c r="B14" s="9" t="s">
        <v>62</v>
      </c>
    </row>
    <row r="16" spans="1:2">
      <c r="A16" t="s">
        <v>73</v>
      </c>
    </row>
    <row r="17" spans="1:5">
      <c r="A17" t="s">
        <v>64</v>
      </c>
      <c r="B17" t="s">
        <v>65</v>
      </c>
      <c r="C17" t="s">
        <v>63</v>
      </c>
    </row>
    <row r="18" spans="1:5">
      <c r="A18" t="s">
        <v>22</v>
      </c>
      <c r="B18">
        <v>30</v>
      </c>
      <c r="C18">
        <v>4.17</v>
      </c>
    </row>
    <row r="19" spans="1:5">
      <c r="A19" t="s">
        <v>66</v>
      </c>
      <c r="B19">
        <v>120</v>
      </c>
      <c r="C19">
        <v>16.670000000000002</v>
      </c>
    </row>
    <row r="20" spans="1:5">
      <c r="A20" t="s">
        <v>3</v>
      </c>
      <c r="B20">
        <v>25</v>
      </c>
      <c r="C20">
        <v>3.48</v>
      </c>
    </row>
    <row r="21" spans="1:5">
      <c r="A21" s="53" t="s">
        <v>16</v>
      </c>
      <c r="B21">
        <v>50</v>
      </c>
      <c r="C21">
        <v>6.94</v>
      </c>
    </row>
    <row r="22" spans="1:5">
      <c r="A22" t="s">
        <v>5</v>
      </c>
      <c r="B22">
        <v>75</v>
      </c>
      <c r="C22">
        <v>10.43</v>
      </c>
    </row>
    <row r="23" spans="1:5">
      <c r="A23" s="53" t="s">
        <v>18</v>
      </c>
      <c r="B23">
        <v>100</v>
      </c>
      <c r="C23">
        <v>13.9</v>
      </c>
    </row>
    <row r="24" spans="1:5">
      <c r="A24" t="s">
        <v>2</v>
      </c>
      <c r="B24">
        <v>30</v>
      </c>
      <c r="C24">
        <v>4.17</v>
      </c>
    </row>
    <row r="25" spans="1:5">
      <c r="A25" t="s">
        <v>8</v>
      </c>
      <c r="B25">
        <v>30</v>
      </c>
      <c r="C25">
        <v>4.17</v>
      </c>
    </row>
    <row r="26" spans="1:5">
      <c r="A26" t="s">
        <v>67</v>
      </c>
      <c r="B26">
        <v>80</v>
      </c>
      <c r="C26">
        <v>11.12</v>
      </c>
      <c r="E26">
        <f>80/4</f>
        <v>20</v>
      </c>
    </row>
    <row r="27" spans="1:5">
      <c r="A27" t="s">
        <v>56</v>
      </c>
      <c r="B27">
        <v>2500</v>
      </c>
      <c r="C27">
        <v>8.3330000000000002</v>
      </c>
    </row>
    <row r="28" spans="1:5">
      <c r="A28" t="s">
        <v>60</v>
      </c>
      <c r="B28">
        <v>2000</v>
      </c>
      <c r="C28">
        <v>8.3330000000000002</v>
      </c>
    </row>
    <row r="29" spans="1:5">
      <c r="A29" t="s">
        <v>57</v>
      </c>
      <c r="B29">
        <v>1800</v>
      </c>
      <c r="C29">
        <v>8.3330000000000002</v>
      </c>
    </row>
    <row r="30" spans="1:5">
      <c r="A30" t="s">
        <v>62</v>
      </c>
      <c r="B30">
        <v>2000</v>
      </c>
      <c r="C30">
        <v>8.3330000000000002</v>
      </c>
    </row>
    <row r="31" spans="1:5">
      <c r="A31" t="s">
        <v>68</v>
      </c>
      <c r="B31">
        <v>60</v>
      </c>
      <c r="C31">
        <v>8.3330000000000002</v>
      </c>
    </row>
    <row r="32" spans="1:5">
      <c r="A32" t="s">
        <v>23</v>
      </c>
      <c r="B32">
        <v>15</v>
      </c>
      <c r="C32">
        <v>2.78</v>
      </c>
    </row>
    <row r="33" spans="1:7">
      <c r="A33" t="s">
        <v>69</v>
      </c>
      <c r="B33">
        <v>80</v>
      </c>
      <c r="C33">
        <v>11.12</v>
      </c>
    </row>
    <row r="34" spans="1:7">
      <c r="A34" t="s">
        <v>70</v>
      </c>
      <c r="B34">
        <v>30</v>
      </c>
      <c r="C34">
        <v>5.56</v>
      </c>
    </row>
    <row r="35" spans="1:7">
      <c r="A35" t="s">
        <v>71</v>
      </c>
      <c r="B35">
        <v>60</v>
      </c>
      <c r="C35">
        <v>8.3330000000000002</v>
      </c>
    </row>
    <row r="36" spans="1:7">
      <c r="A36" t="s">
        <v>72</v>
      </c>
      <c r="B36">
        <v>60</v>
      </c>
      <c r="C36">
        <v>8.3330000000000002</v>
      </c>
    </row>
    <row r="37" spans="1:7">
      <c r="A37" s="53" t="s">
        <v>10</v>
      </c>
      <c r="B37">
        <v>60</v>
      </c>
      <c r="C37">
        <v>8.3332999999999995</v>
      </c>
    </row>
    <row r="38" spans="1:7">
      <c r="A38" s="53" t="s">
        <v>170</v>
      </c>
      <c r="B38" s="53">
        <v>15</v>
      </c>
      <c r="C38" s="53">
        <v>2.78</v>
      </c>
    </row>
    <row r="39" spans="1:7">
      <c r="A39" t="s">
        <v>24</v>
      </c>
      <c r="C39">
        <f>C26/2</f>
        <v>5.56</v>
      </c>
    </row>
    <row r="40" spans="1:7" s="53" customFormat="1">
      <c r="A40" s="53" t="s">
        <v>237</v>
      </c>
      <c r="C40" s="53">
        <v>5.55</v>
      </c>
    </row>
    <row r="42" spans="1:7">
      <c r="A42" t="s">
        <v>14</v>
      </c>
    </row>
    <row r="43" spans="1:7" ht="15.75" thickBot="1">
      <c r="A43" t="s">
        <v>15</v>
      </c>
      <c r="B43">
        <v>35</v>
      </c>
      <c r="C43">
        <f>8.333*35/60</f>
        <v>4.8609166666666672</v>
      </c>
    </row>
    <row r="44" spans="1:7" ht="15.75" thickBot="1">
      <c r="A44" s="3" t="s">
        <v>11</v>
      </c>
      <c r="B44" s="2">
        <v>50</v>
      </c>
      <c r="C44" s="2">
        <v>6.94</v>
      </c>
      <c r="D44" s="2">
        <v>3000</v>
      </c>
      <c r="G44">
        <f>50/4</f>
        <v>12.5</v>
      </c>
    </row>
    <row r="45" spans="1:7" ht="15.75" thickBot="1">
      <c r="A45" t="s">
        <v>56</v>
      </c>
      <c r="B45" s="2">
        <v>5000</v>
      </c>
      <c r="C45" s="2">
        <v>6.94</v>
      </c>
      <c r="D45" s="2"/>
    </row>
    <row r="46" spans="1:7" ht="15.75" thickBot="1">
      <c r="A46" t="s">
        <v>60</v>
      </c>
      <c r="B46" s="2">
        <v>3300</v>
      </c>
      <c r="C46" s="2">
        <v>6.94</v>
      </c>
      <c r="D46" s="2"/>
    </row>
    <row r="47" spans="1:7" ht="15.75" thickBot="1">
      <c r="A47" t="s">
        <v>57</v>
      </c>
      <c r="B47" s="2">
        <v>2900</v>
      </c>
      <c r="C47" s="2">
        <v>6.94</v>
      </c>
      <c r="D47" s="2"/>
    </row>
    <row r="48" spans="1:7" s="53" customFormat="1" ht="15.75" thickBot="1">
      <c r="A48" s="53" t="s">
        <v>286</v>
      </c>
      <c r="B48" s="2">
        <v>3300</v>
      </c>
      <c r="C48" s="2">
        <v>6.94</v>
      </c>
      <c r="D48" s="2"/>
    </row>
    <row r="49" spans="1:14" ht="15.75" thickBot="1">
      <c r="A49" s="3" t="s">
        <v>13</v>
      </c>
      <c r="B49" s="2">
        <v>60</v>
      </c>
      <c r="C49" s="2">
        <v>8.3330000000000002</v>
      </c>
      <c r="D49" s="3"/>
    </row>
    <row r="50" spans="1:14" ht="15.75" thickBot="1">
      <c r="A50" s="3" t="s">
        <v>3</v>
      </c>
      <c r="B50" s="2">
        <v>30</v>
      </c>
      <c r="C50" s="2">
        <v>4.17</v>
      </c>
      <c r="D50" s="3"/>
      <c r="K50">
        <f>3*12</f>
        <v>36</v>
      </c>
      <c r="L50">
        <f>40/12</f>
        <v>3.3333333333333335</v>
      </c>
    </row>
    <row r="51" spans="1:14" ht="15.75" thickBot="1">
      <c r="A51" s="3" t="s">
        <v>16</v>
      </c>
      <c r="B51" s="2">
        <v>60</v>
      </c>
      <c r="C51" s="2">
        <v>8.3330000000000002</v>
      </c>
      <c r="D51" s="3"/>
      <c r="K51">
        <f>47/12</f>
        <v>3.9166666666666665</v>
      </c>
      <c r="L51">
        <f>3900*12</f>
        <v>46800</v>
      </c>
      <c r="N51">
        <f>45/8</f>
        <v>5.625</v>
      </c>
    </row>
    <row r="52" spans="1:14" ht="15.75" thickBot="1">
      <c r="A52" s="3" t="s">
        <v>5</v>
      </c>
      <c r="B52" s="2">
        <v>75</v>
      </c>
      <c r="C52" s="2">
        <v>10.43</v>
      </c>
      <c r="D52" s="3"/>
    </row>
    <row r="53" spans="1:14" ht="15.75" thickBot="1">
      <c r="A53" s="3" t="s">
        <v>18</v>
      </c>
      <c r="B53" s="2">
        <v>100</v>
      </c>
      <c r="C53" s="2">
        <v>13.9</v>
      </c>
      <c r="D53" s="3"/>
    </row>
    <row r="54" spans="1:14" ht="15.75" thickBot="1">
      <c r="A54" s="4" t="s">
        <v>19</v>
      </c>
      <c r="B54" s="3"/>
      <c r="C54" s="3"/>
      <c r="D54" s="3"/>
    </row>
    <row r="55" spans="1:14">
      <c r="A55" s="53" t="s">
        <v>12</v>
      </c>
      <c r="B55" s="5">
        <v>120</v>
      </c>
      <c r="C55" s="5">
        <v>16.670000000000002</v>
      </c>
    </row>
    <row r="56" spans="1:14">
      <c r="A56" t="s">
        <v>21</v>
      </c>
      <c r="C56">
        <f>8.333*0.7</f>
        <v>5.8331</v>
      </c>
    </row>
    <row r="57" spans="1:14">
      <c r="A57" s="53" t="s">
        <v>22</v>
      </c>
      <c r="B57" s="6">
        <v>30</v>
      </c>
      <c r="C57" s="6">
        <v>4.17</v>
      </c>
    </row>
    <row r="58" spans="1:14">
      <c r="A58" t="s">
        <v>23</v>
      </c>
      <c r="B58">
        <v>30</v>
      </c>
      <c r="C58">
        <v>2.78</v>
      </c>
    </row>
    <row r="59" spans="1:14">
      <c r="A59" s="53" t="s">
        <v>24</v>
      </c>
      <c r="B59">
        <v>30</v>
      </c>
      <c r="C59">
        <f>C44/2</f>
        <v>3.47</v>
      </c>
    </row>
    <row r="60" spans="1:14">
      <c r="A60" t="s">
        <v>10</v>
      </c>
      <c r="B60">
        <v>60</v>
      </c>
      <c r="C60">
        <v>8.3332999999999995</v>
      </c>
    </row>
    <row r="61" spans="1:14" s="53" customFormat="1">
      <c r="A61" s="53" t="s">
        <v>225</v>
      </c>
      <c r="B61" s="53">
        <v>60</v>
      </c>
      <c r="C61" s="53">
        <v>8.3332999999999995</v>
      </c>
    </row>
    <row r="62" spans="1:14">
      <c r="A62" t="s">
        <v>8</v>
      </c>
      <c r="B62">
        <v>30</v>
      </c>
      <c r="C62">
        <v>4.17</v>
      </c>
    </row>
    <row r="63" spans="1:14">
      <c r="A63" t="s">
        <v>237</v>
      </c>
      <c r="B63">
        <v>40</v>
      </c>
      <c r="C63">
        <f>8.333*40/60</f>
        <v>5.5553333333333335</v>
      </c>
    </row>
    <row r="64" spans="1:14">
      <c r="A64" t="s">
        <v>2</v>
      </c>
      <c r="B64">
        <v>30</v>
      </c>
      <c r="C64">
        <v>4.17</v>
      </c>
    </row>
    <row r="65" spans="1:4">
      <c r="A65" t="s">
        <v>26</v>
      </c>
      <c r="C65">
        <v>6.94</v>
      </c>
    </row>
    <row r="66" spans="1:4">
      <c r="A66" t="s">
        <v>27</v>
      </c>
      <c r="B66">
        <v>60</v>
      </c>
      <c r="C66">
        <v>8.3330000000000002</v>
      </c>
    </row>
    <row r="67" spans="1:4">
      <c r="A67" t="s">
        <v>7</v>
      </c>
      <c r="B67">
        <v>60</v>
      </c>
      <c r="C67">
        <v>8.3332999999999995</v>
      </c>
    </row>
    <row r="68" spans="1:4">
      <c r="A68" t="s">
        <v>28</v>
      </c>
      <c r="B68">
        <v>60</v>
      </c>
      <c r="C68">
        <v>8.3332999999999995</v>
      </c>
    </row>
    <row r="69" spans="1:4" s="53" customFormat="1">
      <c r="A69" s="53" t="s">
        <v>171</v>
      </c>
      <c r="B69" s="53">
        <v>40</v>
      </c>
      <c r="C69" s="53">
        <v>5.55</v>
      </c>
    </row>
    <row r="70" spans="1:4" s="53" customFormat="1">
      <c r="A70" s="56" t="s">
        <v>172</v>
      </c>
      <c r="B70" s="53">
        <v>120</v>
      </c>
      <c r="C70" s="53">
        <v>16.670000000000002</v>
      </c>
    </row>
    <row r="71" spans="1:4">
      <c r="A71" t="s">
        <v>29</v>
      </c>
      <c r="B71">
        <v>40</v>
      </c>
      <c r="C71">
        <v>5.55</v>
      </c>
    </row>
    <row r="72" spans="1:4">
      <c r="A72" t="s">
        <v>62</v>
      </c>
      <c r="B72">
        <v>3000</v>
      </c>
      <c r="C72">
        <v>8.3330000000000002</v>
      </c>
    </row>
    <row r="73" spans="1:4">
      <c r="A73" s="53" t="s">
        <v>170</v>
      </c>
      <c r="B73">
        <v>15</v>
      </c>
      <c r="C73">
        <f>C50/2</f>
        <v>2.085</v>
      </c>
    </row>
    <row r="74" spans="1:4">
      <c r="A74" s="53" t="s">
        <v>190</v>
      </c>
      <c r="B74">
        <v>15</v>
      </c>
      <c r="C74">
        <v>2.78</v>
      </c>
    </row>
    <row r="75" spans="1:4" ht="15.75" thickBot="1">
      <c r="A75" s="53" t="s">
        <v>231</v>
      </c>
      <c r="B75">
        <v>60</v>
      </c>
      <c r="C75">
        <v>8.3330000000000002</v>
      </c>
    </row>
    <row r="76" spans="1:4" ht="15.75" thickBot="1">
      <c r="A76" s="3" t="s">
        <v>85</v>
      </c>
      <c r="B76" s="2">
        <v>110</v>
      </c>
      <c r="C76">
        <f>9.1*B76/60</f>
        <v>16.683333333333334</v>
      </c>
      <c r="D76" s="2">
        <v>550</v>
      </c>
    </row>
    <row r="77" spans="1:4" ht="15.75" thickBot="1">
      <c r="A77" s="3" t="s">
        <v>86</v>
      </c>
      <c r="B77" s="2">
        <v>60</v>
      </c>
      <c r="C77" s="2">
        <v>9.1</v>
      </c>
      <c r="D77" s="2">
        <v>600</v>
      </c>
    </row>
    <row r="78" spans="1:4" ht="15.75" thickBot="1">
      <c r="A78" s="168" t="s">
        <v>215</v>
      </c>
      <c r="B78" s="2">
        <v>110</v>
      </c>
      <c r="C78" s="2">
        <v>16.68</v>
      </c>
      <c r="D78" s="2">
        <v>450</v>
      </c>
    </row>
    <row r="79" spans="1:4" ht="15.75" thickBot="1">
      <c r="A79" s="162" t="s">
        <v>212</v>
      </c>
      <c r="B79" s="2">
        <v>60</v>
      </c>
      <c r="C79" s="2">
        <v>9.1</v>
      </c>
      <c r="D79" s="2">
        <v>350</v>
      </c>
    </row>
    <row r="80" spans="1:4" s="186" customFormat="1" ht="15.75" thickBot="1">
      <c r="A80" s="245" t="s">
        <v>346</v>
      </c>
      <c r="B80" s="2">
        <v>60</v>
      </c>
      <c r="C80" s="2">
        <v>9.1</v>
      </c>
      <c r="D80" s="2">
        <v>350</v>
      </c>
    </row>
    <row r="81" spans="1:4">
      <c r="A81" s="53" t="s">
        <v>213</v>
      </c>
      <c r="B81" s="6">
        <v>60</v>
      </c>
      <c r="C81">
        <f>9.1</f>
        <v>9.1</v>
      </c>
      <c r="D81" s="6">
        <v>450</v>
      </c>
    </row>
    <row r="82" spans="1:4">
      <c r="A82" t="s">
        <v>87</v>
      </c>
      <c r="B82" s="6">
        <v>110</v>
      </c>
      <c r="C82">
        <f>9.1*110/60</f>
        <v>16.683333333333334</v>
      </c>
      <c r="D82" s="6">
        <v>300</v>
      </c>
    </row>
    <row r="83" spans="1:4" s="53" customFormat="1">
      <c r="A83" s="63" t="s">
        <v>211</v>
      </c>
      <c r="B83" s="163">
        <v>60</v>
      </c>
      <c r="C83" s="163">
        <v>9.1</v>
      </c>
      <c r="D83" s="163">
        <v>200</v>
      </c>
    </row>
    <row r="84" spans="1:4" s="53" customFormat="1">
      <c r="A84" s="164" t="s">
        <v>200</v>
      </c>
      <c r="B84" s="163">
        <v>110</v>
      </c>
      <c r="C84" s="163">
        <v>16.68</v>
      </c>
      <c r="D84" s="163">
        <v>450</v>
      </c>
    </row>
    <row r="85" spans="1:4">
      <c r="A85" t="s">
        <v>88</v>
      </c>
      <c r="B85" s="6">
        <v>60</v>
      </c>
      <c r="C85">
        <f>9.1</f>
        <v>9.1</v>
      </c>
      <c r="D85" s="6">
        <v>350</v>
      </c>
    </row>
    <row r="86" spans="1:4" ht="15.75" thickBot="1">
      <c r="A86" t="s">
        <v>89</v>
      </c>
      <c r="B86" s="6">
        <v>60</v>
      </c>
      <c r="C86">
        <v>9.1</v>
      </c>
      <c r="D86" s="6">
        <v>300</v>
      </c>
    </row>
    <row r="87" spans="1:4" ht="15.75" thickBot="1">
      <c r="A87" t="s">
        <v>90</v>
      </c>
      <c r="B87" s="35">
        <v>140</v>
      </c>
      <c r="C87" s="35">
        <f>9.1*B87/60</f>
        <v>21.233333333333334</v>
      </c>
      <c r="D87" s="35">
        <v>1600</v>
      </c>
    </row>
    <row r="88" spans="1:4" ht="15.75" thickBot="1">
      <c r="A88" s="3" t="s">
        <v>91</v>
      </c>
      <c r="B88" s="2">
        <v>40</v>
      </c>
      <c r="C88" s="35">
        <f t="shared" ref="C88:C103" si="0">9.1*B88/60</f>
        <v>6.0666666666666664</v>
      </c>
      <c r="D88" s="2">
        <v>550</v>
      </c>
    </row>
    <row r="89" spans="1:4" ht="15.75" thickBot="1">
      <c r="A89" s="3" t="s">
        <v>92</v>
      </c>
      <c r="B89" s="2">
        <v>90</v>
      </c>
      <c r="C89" s="35">
        <f t="shared" si="0"/>
        <v>13.65</v>
      </c>
      <c r="D89" s="2">
        <v>550</v>
      </c>
    </row>
    <row r="90" spans="1:4" ht="15.75" thickBot="1">
      <c r="A90" s="3" t="s">
        <v>93</v>
      </c>
      <c r="B90" s="2">
        <v>40</v>
      </c>
      <c r="C90" s="35">
        <f t="shared" si="0"/>
        <v>6.0666666666666664</v>
      </c>
      <c r="D90" s="2">
        <v>600</v>
      </c>
    </row>
    <row r="91" spans="1:4" ht="15.75" thickBot="1">
      <c r="A91" s="3" t="s">
        <v>94</v>
      </c>
      <c r="B91" s="2">
        <v>90</v>
      </c>
      <c r="C91" s="35">
        <f t="shared" si="0"/>
        <v>13.65</v>
      </c>
      <c r="D91" s="2">
        <v>600</v>
      </c>
    </row>
    <row r="92" spans="1:4" ht="15.75" thickBot="1">
      <c r="A92" s="3" t="s">
        <v>95</v>
      </c>
      <c r="B92" s="2">
        <v>20</v>
      </c>
      <c r="C92" s="35">
        <f t="shared" si="0"/>
        <v>3.0333333333333332</v>
      </c>
      <c r="D92" s="2">
        <v>550</v>
      </c>
    </row>
    <row r="93" spans="1:4" ht="15.75" thickBot="1">
      <c r="A93" s="34" t="s">
        <v>96</v>
      </c>
      <c r="B93" s="2">
        <v>60</v>
      </c>
      <c r="C93" s="35">
        <f t="shared" si="0"/>
        <v>9.1</v>
      </c>
      <c r="D93" s="2">
        <v>550</v>
      </c>
    </row>
    <row r="94" spans="1:4" ht="15.75" thickBot="1">
      <c r="A94" s="3" t="s">
        <v>97</v>
      </c>
      <c r="B94" s="2">
        <v>20</v>
      </c>
      <c r="C94" s="35">
        <f t="shared" si="0"/>
        <v>3.0333333333333332</v>
      </c>
      <c r="D94" s="2">
        <v>600</v>
      </c>
    </row>
    <row r="95" spans="1:4" ht="15.75" thickBot="1">
      <c r="A95" s="3" t="s">
        <v>98</v>
      </c>
      <c r="B95" s="2">
        <v>60</v>
      </c>
      <c r="C95" s="35">
        <f t="shared" si="0"/>
        <v>9.1</v>
      </c>
      <c r="D95" s="2">
        <v>600</v>
      </c>
    </row>
    <row r="96" spans="1:4" ht="15.75" thickBot="1">
      <c r="A96" s="37" t="s">
        <v>107</v>
      </c>
      <c r="B96" s="2">
        <v>90</v>
      </c>
      <c r="C96" s="35">
        <f t="shared" si="0"/>
        <v>13.65</v>
      </c>
      <c r="D96" s="2">
        <v>350</v>
      </c>
    </row>
    <row r="97" spans="1:5" ht="15.75" thickBot="1">
      <c r="A97" s="7" t="s">
        <v>201</v>
      </c>
      <c r="B97" s="35">
        <v>135</v>
      </c>
      <c r="C97" s="35">
        <f t="shared" si="0"/>
        <v>20.475000000000001</v>
      </c>
      <c r="D97" s="35">
        <v>350</v>
      </c>
    </row>
    <row r="98" spans="1:5" ht="15.75" thickBot="1">
      <c r="A98" s="34" t="s">
        <v>99</v>
      </c>
      <c r="B98" s="2">
        <v>180</v>
      </c>
      <c r="C98" s="35">
        <f t="shared" si="0"/>
        <v>27.3</v>
      </c>
      <c r="D98" s="2">
        <v>320</v>
      </c>
    </row>
    <row r="99" spans="1:5" ht="15.75" thickBot="1">
      <c r="A99" s="3" t="s">
        <v>100</v>
      </c>
      <c r="B99" s="2">
        <v>300</v>
      </c>
      <c r="C99" s="35">
        <f t="shared" si="0"/>
        <v>45.5</v>
      </c>
      <c r="D99" s="2">
        <v>320</v>
      </c>
    </row>
    <row r="100" spans="1:5" ht="15.75" thickBot="1">
      <c r="A100" s="3" t="s">
        <v>101</v>
      </c>
      <c r="B100" s="2">
        <v>90</v>
      </c>
      <c r="C100" s="35">
        <f>9.1*B100/60</f>
        <v>13.65</v>
      </c>
      <c r="D100" s="2">
        <v>450</v>
      </c>
    </row>
    <row r="101" spans="1:5" ht="15.75" thickBot="1">
      <c r="A101" s="3" t="s">
        <v>102</v>
      </c>
      <c r="B101" s="5">
        <v>135</v>
      </c>
      <c r="C101" s="35">
        <f>9.1*B101/60</f>
        <v>20.475000000000001</v>
      </c>
      <c r="D101" s="5">
        <v>450</v>
      </c>
    </row>
    <row r="102" spans="1:5" ht="15.75" thickBot="1">
      <c r="A102" s="3" t="s">
        <v>103</v>
      </c>
      <c r="B102" s="2">
        <v>180</v>
      </c>
      <c r="C102" s="35">
        <f t="shared" si="0"/>
        <v>27.3</v>
      </c>
      <c r="D102" s="2">
        <v>450</v>
      </c>
    </row>
    <row r="103" spans="1:5" ht="15.75" thickBot="1">
      <c r="A103" s="3" t="s">
        <v>104</v>
      </c>
      <c r="B103" s="2">
        <v>480</v>
      </c>
      <c r="C103" s="35">
        <f t="shared" si="0"/>
        <v>72.8</v>
      </c>
      <c r="D103" s="2">
        <v>400</v>
      </c>
    </row>
    <row r="104" spans="1:5">
      <c r="A104" s="53" t="s">
        <v>105</v>
      </c>
      <c r="D104" s="5">
        <v>210</v>
      </c>
    </row>
    <row r="105" spans="1:5" ht="15.75" thickBot="1">
      <c r="A105" t="s">
        <v>110</v>
      </c>
    </row>
    <row r="106" spans="1:5" ht="15.75" thickBot="1">
      <c r="A106" s="34" t="s">
        <v>80</v>
      </c>
      <c r="B106" s="2">
        <v>110</v>
      </c>
      <c r="C106">
        <f>9.1*B106/60</f>
        <v>16.683333333333334</v>
      </c>
      <c r="D106" s="2">
        <v>550</v>
      </c>
    </row>
    <row r="107" spans="1:5" ht="15.75" thickBot="1">
      <c r="A107" s="3" t="s">
        <v>84</v>
      </c>
      <c r="B107" s="2">
        <v>60</v>
      </c>
      <c r="C107" s="2">
        <v>9.1</v>
      </c>
      <c r="D107" s="2">
        <v>600</v>
      </c>
    </row>
    <row r="108" spans="1:5" ht="15.75" thickBot="1">
      <c r="A108" s="34" t="s">
        <v>83</v>
      </c>
      <c r="B108" s="2">
        <v>110</v>
      </c>
      <c r="C108" s="2">
        <v>16.68</v>
      </c>
      <c r="D108" s="2">
        <v>450</v>
      </c>
    </row>
    <row r="109" spans="1:5" ht="15.75" thickBot="1">
      <c r="A109" s="34" t="s">
        <v>81</v>
      </c>
      <c r="B109" s="2">
        <v>60</v>
      </c>
      <c r="C109" s="2">
        <v>9.1</v>
      </c>
      <c r="D109" s="2">
        <v>350</v>
      </c>
    </row>
    <row r="110" spans="1:5" ht="15.75" thickBot="1">
      <c r="A110" s="3" t="s">
        <v>82</v>
      </c>
      <c r="B110" s="2">
        <v>20</v>
      </c>
      <c r="C110" s="2">
        <f>9.1*0.333</f>
        <v>3.0303</v>
      </c>
      <c r="D110" s="2">
        <v>600</v>
      </c>
    </row>
    <row r="111" spans="1:5" ht="15.75" thickBot="1">
      <c r="A111" s="36" t="s">
        <v>96</v>
      </c>
      <c r="B111" s="2">
        <v>60</v>
      </c>
      <c r="C111" s="2">
        <v>9.1</v>
      </c>
      <c r="D111" s="2">
        <v>550</v>
      </c>
      <c r="E111" s="2">
        <v>9.1</v>
      </c>
    </row>
    <row r="112" spans="1:5" ht="15.75" thickBot="1">
      <c r="A112" s="36" t="s">
        <v>106</v>
      </c>
      <c r="B112" s="2">
        <v>60</v>
      </c>
      <c r="C112" s="2">
        <v>9.1</v>
      </c>
      <c r="D112" s="2">
        <v>550</v>
      </c>
    </row>
    <row r="113" spans="1:5" ht="15.75" thickBot="1">
      <c r="A113" s="41" t="s">
        <v>108</v>
      </c>
      <c r="B113" s="2">
        <v>60</v>
      </c>
      <c r="C113" s="35">
        <f>9.1*B113/60</f>
        <v>9.1</v>
      </c>
      <c r="D113" s="2">
        <v>600</v>
      </c>
    </row>
    <row r="114" spans="1:5" ht="15.75" thickBot="1">
      <c r="A114" s="41" t="s">
        <v>109</v>
      </c>
      <c r="B114" s="2">
        <v>20</v>
      </c>
      <c r="C114" s="35">
        <f>9.1*B114/60</f>
        <v>3.0333333333333332</v>
      </c>
      <c r="D114" s="2">
        <v>550</v>
      </c>
    </row>
    <row r="115" spans="1:5" ht="15.75" thickBot="1">
      <c r="A115" s="71" t="s">
        <v>199</v>
      </c>
      <c r="B115" s="2">
        <v>110</v>
      </c>
      <c r="C115" s="53">
        <f>9.1*B115/60</f>
        <v>16.683333333333334</v>
      </c>
      <c r="D115" s="2">
        <v>550</v>
      </c>
    </row>
    <row r="116" spans="1:5">
      <c r="A116" s="245" t="s">
        <v>347</v>
      </c>
      <c r="B116" s="5">
        <v>110</v>
      </c>
      <c r="C116">
        <v>16.68</v>
      </c>
      <c r="D116" s="5">
        <v>450</v>
      </c>
    </row>
    <row r="117" spans="1:5" s="247" customFormat="1">
      <c r="A117" s="327" t="s">
        <v>703</v>
      </c>
      <c r="B117" s="6">
        <v>30</v>
      </c>
      <c r="C117" s="247">
        <v>16.68</v>
      </c>
      <c r="D117" s="6">
        <v>600</v>
      </c>
    </row>
    <row r="118" spans="1:5" s="247" customFormat="1">
      <c r="A118" s="313"/>
      <c r="B118" s="6"/>
      <c r="D118" s="6"/>
    </row>
    <row r="119" spans="1:5" s="247" customFormat="1">
      <c r="A119" s="313"/>
      <c r="B119" s="6"/>
      <c r="D119" s="6"/>
    </row>
    <row r="120" spans="1:5" ht="15.75" thickBot="1"/>
    <row r="121" spans="1:5" ht="30.75" thickBot="1">
      <c r="A121" s="42" t="s">
        <v>116</v>
      </c>
      <c r="B121" s="42" t="s">
        <v>117</v>
      </c>
      <c r="C121" s="42" t="s">
        <v>118</v>
      </c>
      <c r="D121" s="42" t="s">
        <v>119</v>
      </c>
      <c r="E121" s="42" t="s">
        <v>120</v>
      </c>
    </row>
    <row r="122" spans="1:5" ht="15.75" thickBot="1">
      <c r="A122" s="3" t="s">
        <v>121</v>
      </c>
      <c r="B122" s="2">
        <v>80</v>
      </c>
      <c r="C122" s="2">
        <v>12.13</v>
      </c>
      <c r="D122" s="2">
        <v>3500</v>
      </c>
      <c r="E122" s="2">
        <v>9.1</v>
      </c>
    </row>
    <row r="123" spans="1:5" ht="15.75" thickBot="1">
      <c r="A123" s="3" t="s">
        <v>122</v>
      </c>
      <c r="B123" s="2">
        <v>80</v>
      </c>
      <c r="C123" s="2">
        <v>12.13</v>
      </c>
      <c r="D123" s="2">
        <v>3000</v>
      </c>
      <c r="E123" s="2">
        <v>9.1</v>
      </c>
    </row>
    <row r="124" spans="1:5" ht="15.75" thickBot="1">
      <c r="A124" s="180" t="s">
        <v>298</v>
      </c>
      <c r="B124" s="2">
        <v>90</v>
      </c>
      <c r="C124" s="2">
        <v>13.65</v>
      </c>
      <c r="D124" s="2">
        <v>2500</v>
      </c>
      <c r="E124" s="2">
        <v>9.1</v>
      </c>
    </row>
    <row r="125" spans="1:5" ht="15.75" thickBot="1">
      <c r="A125" s="3" t="s">
        <v>123</v>
      </c>
      <c r="B125" s="2">
        <v>90</v>
      </c>
      <c r="C125" s="2">
        <v>13.65</v>
      </c>
      <c r="D125" s="2">
        <v>2000</v>
      </c>
      <c r="E125" s="2">
        <v>9.1</v>
      </c>
    </row>
    <row r="126" spans="1:5" ht="15.75" thickBot="1">
      <c r="A126" s="3" t="s">
        <v>124</v>
      </c>
      <c r="B126" s="2">
        <v>80</v>
      </c>
      <c r="C126" s="2">
        <v>12.13</v>
      </c>
      <c r="D126" s="2">
        <v>4500</v>
      </c>
      <c r="E126" s="2">
        <v>9.1</v>
      </c>
    </row>
    <row r="127" spans="1:5" ht="15.75" thickBot="1">
      <c r="A127" s="3" t="s">
        <v>125</v>
      </c>
      <c r="B127" s="2">
        <v>80</v>
      </c>
      <c r="C127" s="2">
        <v>12.13</v>
      </c>
      <c r="D127" s="64">
        <v>3000</v>
      </c>
      <c r="E127" s="2">
        <v>9.1</v>
      </c>
    </row>
    <row r="128" spans="1:5" ht="15.75" thickBot="1">
      <c r="A128" s="3" t="s">
        <v>126</v>
      </c>
      <c r="B128" s="2">
        <v>90</v>
      </c>
      <c r="C128" s="2">
        <v>13.65</v>
      </c>
      <c r="D128" s="2">
        <v>2000</v>
      </c>
      <c r="E128" s="2">
        <v>9.1</v>
      </c>
    </row>
    <row r="129" spans="1:14" ht="30.75" thickBot="1">
      <c r="A129" s="3" t="s">
        <v>127</v>
      </c>
      <c r="B129" s="2">
        <v>150</v>
      </c>
      <c r="C129" s="2">
        <v>22.75</v>
      </c>
      <c r="D129" s="64">
        <v>1600</v>
      </c>
      <c r="E129" s="2">
        <v>9.1</v>
      </c>
    </row>
    <row r="130" spans="1:14" ht="30.75" thickBot="1">
      <c r="A130" s="3" t="s">
        <v>128</v>
      </c>
      <c r="B130" s="2">
        <v>150</v>
      </c>
      <c r="C130" s="2">
        <v>22.75</v>
      </c>
      <c r="D130" s="2">
        <v>1300</v>
      </c>
      <c r="E130" s="2">
        <v>9.1</v>
      </c>
    </row>
    <row r="131" spans="1:14" ht="15.75" thickBot="1">
      <c r="A131" s="3" t="s">
        <v>129</v>
      </c>
      <c r="B131" s="66">
        <v>500</v>
      </c>
      <c r="C131" s="2">
        <v>75.83</v>
      </c>
      <c r="D131" s="64">
        <v>3000</v>
      </c>
      <c r="E131" s="2">
        <v>9.1</v>
      </c>
      <c r="G131" s="65">
        <v>3000</v>
      </c>
    </row>
    <row r="132" spans="1:14" ht="15.75" thickBot="1">
      <c r="A132" s="47" t="s">
        <v>136</v>
      </c>
      <c r="B132" s="48"/>
      <c r="C132" s="2"/>
      <c r="D132" s="2">
        <v>630</v>
      </c>
      <c r="E132" s="2">
        <v>9.1</v>
      </c>
      <c r="L132">
        <f>500/60</f>
        <v>8.3333333333333339</v>
      </c>
    </row>
    <row r="133" spans="1:14" ht="15.75" thickBot="1">
      <c r="A133" s="181" t="s">
        <v>299</v>
      </c>
      <c r="B133" s="48"/>
      <c r="C133" s="2"/>
      <c r="D133" s="2">
        <v>545</v>
      </c>
      <c r="E133" s="2">
        <v>9.1</v>
      </c>
      <c r="L133">
        <f>L132*8.333</f>
        <v>69.441666666666677</v>
      </c>
    </row>
    <row r="134" spans="1:14" ht="15.75" thickBot="1">
      <c r="A134" s="44" t="s">
        <v>130</v>
      </c>
      <c r="B134" s="45"/>
      <c r="C134" s="3"/>
      <c r="D134" s="2">
        <v>600</v>
      </c>
      <c r="E134" s="2">
        <v>9.1</v>
      </c>
    </row>
    <row r="135" spans="1:14" ht="15.75" thickBot="1">
      <c r="A135" s="44" t="s">
        <v>131</v>
      </c>
      <c r="B135" s="45"/>
      <c r="C135" s="3"/>
      <c r="D135" s="2">
        <v>540</v>
      </c>
      <c r="E135" s="2">
        <v>9.1</v>
      </c>
      <c r="L135">
        <v>200</v>
      </c>
      <c r="M135">
        <v>30.33</v>
      </c>
    </row>
    <row r="136" spans="1:14" ht="15.75" thickBot="1">
      <c r="A136" s="44" t="s">
        <v>132</v>
      </c>
      <c r="B136" s="45"/>
      <c r="C136" s="3"/>
      <c r="D136" s="2">
        <v>450</v>
      </c>
      <c r="E136" s="2">
        <v>9.1</v>
      </c>
      <c r="L136">
        <v>500</v>
      </c>
      <c r="N136">
        <f>500*30.33/200</f>
        <v>75.825000000000003</v>
      </c>
    </row>
    <row r="137" spans="1:14" ht="15.75" thickBot="1">
      <c r="A137" s="44" t="s">
        <v>133</v>
      </c>
      <c r="B137" s="45"/>
      <c r="C137" s="3"/>
      <c r="D137" s="2">
        <v>400</v>
      </c>
      <c r="E137" s="2">
        <v>9.1</v>
      </c>
      <c r="N137">
        <f>500/60*9.1</f>
        <v>75.833333333333343</v>
      </c>
    </row>
    <row r="138" spans="1:14" s="53" customFormat="1" ht="15.75" thickBot="1">
      <c r="A138" s="69" t="s">
        <v>195</v>
      </c>
      <c r="B138" s="45"/>
      <c r="C138" s="3">
        <v>12.13</v>
      </c>
      <c r="D138" s="2">
        <v>600</v>
      </c>
      <c r="E138" s="2">
        <v>9.1</v>
      </c>
    </row>
    <row r="139" spans="1:14" s="53" customFormat="1" ht="15.75" thickBot="1">
      <c r="A139" s="161" t="s">
        <v>210</v>
      </c>
      <c r="B139" s="45"/>
      <c r="C139" s="3">
        <v>12.13</v>
      </c>
      <c r="D139" s="2">
        <v>600</v>
      </c>
      <c r="E139" s="2">
        <v>9.1</v>
      </c>
    </row>
    <row r="140" spans="1:14" ht="15.75" thickBot="1">
      <c r="A140" s="182" t="s">
        <v>300</v>
      </c>
      <c r="B140" s="45"/>
      <c r="C140" s="3"/>
      <c r="D140" s="2">
        <v>400</v>
      </c>
      <c r="E140" s="2">
        <v>9.1</v>
      </c>
    </row>
    <row r="141" spans="1:14" s="186" customFormat="1" ht="15.75" thickBot="1">
      <c r="A141" s="190" t="s">
        <v>314</v>
      </c>
      <c r="B141" s="68"/>
      <c r="C141" s="3"/>
      <c r="D141" s="2">
        <v>540</v>
      </c>
      <c r="E141" s="2">
        <v>9.1</v>
      </c>
    </row>
    <row r="142" spans="1:14" s="186" customFormat="1" ht="15.75" thickBot="1">
      <c r="A142" s="190"/>
      <c r="B142" s="68"/>
      <c r="C142" s="3"/>
      <c r="D142" s="2">
        <v>540</v>
      </c>
      <c r="E142" s="2">
        <v>9.1</v>
      </c>
    </row>
    <row r="143" spans="1:14" s="53" customFormat="1" ht="15.75" thickBot="1">
      <c r="A143" s="69" t="s">
        <v>196</v>
      </c>
      <c r="B143" s="68"/>
      <c r="C143" s="2">
        <v>12.13</v>
      </c>
      <c r="D143" s="2">
        <v>540</v>
      </c>
      <c r="E143" s="2">
        <v>9.1</v>
      </c>
    </row>
    <row r="144" spans="1:14" s="53" customFormat="1" ht="15.75" thickBot="1">
      <c r="A144" s="69" t="s">
        <v>194</v>
      </c>
      <c r="B144" s="68"/>
      <c r="C144" s="2">
        <v>12.13</v>
      </c>
      <c r="D144" s="2">
        <v>540</v>
      </c>
      <c r="E144" s="2">
        <v>9.1</v>
      </c>
    </row>
    <row r="145" spans="1:10" s="53" customFormat="1" ht="15.75" thickBot="1">
      <c r="A145" s="67" t="s">
        <v>198</v>
      </c>
      <c r="B145" s="68"/>
      <c r="C145" s="2">
        <v>12.13</v>
      </c>
      <c r="D145" s="2">
        <v>450</v>
      </c>
      <c r="E145" s="2">
        <v>9.1</v>
      </c>
    </row>
    <row r="146" spans="1:10" s="53" customFormat="1" ht="15.75" thickBot="1">
      <c r="A146" s="70" t="s">
        <v>197</v>
      </c>
      <c r="B146" s="68"/>
      <c r="C146" s="2">
        <v>12.13</v>
      </c>
      <c r="D146" s="2">
        <v>450</v>
      </c>
      <c r="E146" s="2">
        <v>9.1</v>
      </c>
    </row>
    <row r="147" spans="1:10" s="53" customFormat="1" ht="15.75" thickBot="1">
      <c r="A147" s="169" t="s">
        <v>216</v>
      </c>
      <c r="B147" s="68"/>
      <c r="C147" s="2">
        <v>12.13</v>
      </c>
      <c r="D147" s="2">
        <v>545</v>
      </c>
      <c r="E147" s="2">
        <v>9.1</v>
      </c>
    </row>
    <row r="148" spans="1:10" s="186" customFormat="1" ht="15.75" thickBot="1">
      <c r="A148" s="184" t="s">
        <v>306</v>
      </c>
      <c r="B148" s="68"/>
      <c r="C148" s="2">
        <v>12.13</v>
      </c>
      <c r="D148" s="2">
        <v>630</v>
      </c>
      <c r="E148" s="2"/>
    </row>
    <row r="149" spans="1:10" ht="15.75" thickBot="1">
      <c r="A149" s="7" t="s">
        <v>134</v>
      </c>
      <c r="B149" s="2">
        <v>200</v>
      </c>
      <c r="C149" s="2">
        <v>30.33</v>
      </c>
      <c r="D149" s="2">
        <v>1250</v>
      </c>
      <c r="E149" s="2">
        <v>9.1</v>
      </c>
    </row>
    <row r="150" spans="1:10" ht="15.75" thickBot="1">
      <c r="A150" s="183" t="s">
        <v>301</v>
      </c>
      <c r="B150" s="2">
        <v>80</v>
      </c>
      <c r="C150" s="2">
        <v>12.13</v>
      </c>
      <c r="D150" s="2">
        <v>4500</v>
      </c>
      <c r="E150" s="2">
        <v>9.1</v>
      </c>
    </row>
    <row r="151" spans="1:10" ht="15.75" thickBot="1">
      <c r="A151" s="46" t="s">
        <v>115</v>
      </c>
      <c r="B151" s="66">
        <v>500</v>
      </c>
      <c r="C151" s="64">
        <v>75.825000000000003</v>
      </c>
      <c r="D151" s="64">
        <v>3000</v>
      </c>
      <c r="E151" s="64">
        <v>9.1</v>
      </c>
      <c r="G151" s="8">
        <v>200</v>
      </c>
      <c r="H151" s="8">
        <v>30.33</v>
      </c>
    </row>
    <row r="152" spans="1:10" ht="15.75" thickBot="1">
      <c r="A152" s="46" t="s">
        <v>135</v>
      </c>
      <c r="B152" s="2">
        <v>80</v>
      </c>
      <c r="C152" s="2">
        <v>12.13</v>
      </c>
      <c r="D152" s="2">
        <v>2500</v>
      </c>
      <c r="E152" s="2">
        <v>9.1</v>
      </c>
      <c r="G152" s="8">
        <v>500</v>
      </c>
      <c r="J152">
        <f>G152*H151/G151</f>
        <v>75.825000000000003</v>
      </c>
    </row>
    <row r="153" spans="1:10" s="60" customFormat="1" ht="15.75" thickBot="1">
      <c r="A153" s="63" t="s">
        <v>112</v>
      </c>
      <c r="B153" s="64">
        <v>150</v>
      </c>
      <c r="C153" s="64">
        <v>22.75</v>
      </c>
      <c r="D153" s="64">
        <v>2272</v>
      </c>
      <c r="E153" s="64">
        <v>9.1</v>
      </c>
    </row>
    <row r="154" spans="1:10" s="60" customFormat="1" ht="15.75" thickBot="1">
      <c r="A154" s="63" t="s">
        <v>114</v>
      </c>
      <c r="B154" s="64">
        <v>80</v>
      </c>
      <c r="C154" s="64">
        <v>12.13</v>
      </c>
      <c r="D154" s="64">
        <v>3000</v>
      </c>
      <c r="E154" s="64">
        <v>9.1</v>
      </c>
    </row>
    <row r="155" spans="1:10" ht="15.75" thickBot="1">
      <c r="A155" t="s">
        <v>113</v>
      </c>
      <c r="B155" s="2">
        <v>80</v>
      </c>
      <c r="C155" s="2">
        <v>12.13</v>
      </c>
      <c r="D155" s="2">
        <v>4500</v>
      </c>
      <c r="E155" s="2">
        <v>9.1</v>
      </c>
    </row>
    <row r="156" spans="1:10" ht="15.75" thickBot="1">
      <c r="A156" s="43" t="s">
        <v>111</v>
      </c>
      <c r="B156" s="5">
        <v>90</v>
      </c>
      <c r="C156" s="2">
        <v>13.65</v>
      </c>
      <c r="D156" s="2">
        <v>2000</v>
      </c>
      <c r="E156" s="2">
        <v>9.1</v>
      </c>
    </row>
    <row r="157" spans="1:10" ht="15.75" thickBot="1">
      <c r="A157" s="43" t="s">
        <v>113</v>
      </c>
      <c r="B157" s="2">
        <v>80</v>
      </c>
      <c r="C157" s="2">
        <v>12.13</v>
      </c>
      <c r="D157" s="2">
        <v>4500</v>
      </c>
      <c r="E157" s="2">
        <v>9.1</v>
      </c>
    </row>
    <row r="158" spans="1:10" ht="15.75" thickBot="1">
      <c r="A158" s="63" t="s">
        <v>222</v>
      </c>
      <c r="B158" s="64">
        <v>80</v>
      </c>
      <c r="C158" s="64">
        <v>12.13</v>
      </c>
      <c r="D158" s="64">
        <v>2272</v>
      </c>
      <c r="E158" s="64">
        <v>9.1</v>
      </c>
      <c r="J158" s="53"/>
    </row>
    <row r="159" spans="1:10" s="53" customFormat="1" ht="15.75" thickBot="1">
      <c r="A159" s="67" t="s">
        <v>192</v>
      </c>
      <c r="B159" s="2">
        <v>80</v>
      </c>
      <c r="C159" s="2">
        <v>12.13</v>
      </c>
      <c r="D159" s="2">
        <v>3500</v>
      </c>
      <c r="E159" s="2">
        <v>9.1</v>
      </c>
    </row>
    <row r="160" spans="1:10" s="53" customFormat="1" ht="15.75" thickBot="1">
      <c r="A160" s="67" t="s">
        <v>191</v>
      </c>
      <c r="B160" s="2">
        <v>80</v>
      </c>
      <c r="C160" s="2">
        <v>12.13</v>
      </c>
      <c r="D160" s="2">
        <v>3500</v>
      </c>
      <c r="E160" s="2">
        <v>9.1</v>
      </c>
    </row>
    <row r="161" spans="1:6" s="53" customFormat="1">
      <c r="A161" s="57" t="s">
        <v>173</v>
      </c>
      <c r="B161" s="58">
        <v>80</v>
      </c>
      <c r="C161" s="58">
        <v>12.13</v>
      </c>
      <c r="D161" s="58">
        <v>2700</v>
      </c>
      <c r="E161" s="58">
        <v>9.1</v>
      </c>
    </row>
    <row r="162" spans="1:6" s="53" customFormat="1" ht="15.75" thickBot="1">
      <c r="A162" s="57" t="s">
        <v>174</v>
      </c>
      <c r="B162" s="58">
        <v>80</v>
      </c>
      <c r="C162" s="58">
        <v>12.13</v>
      </c>
      <c r="D162" s="58">
        <v>2700</v>
      </c>
      <c r="E162" s="58">
        <v>9.1</v>
      </c>
    </row>
    <row r="163" spans="1:6" s="53" customFormat="1" ht="15.75" thickBot="1">
      <c r="A163" s="67" t="s">
        <v>193</v>
      </c>
      <c r="B163" s="2">
        <v>80</v>
      </c>
      <c r="C163" s="2">
        <v>12.13</v>
      </c>
      <c r="D163" s="2">
        <v>3000</v>
      </c>
      <c r="E163" s="2">
        <v>9.1</v>
      </c>
    </row>
    <row r="164" spans="1:6">
      <c r="A164" t="s">
        <v>146</v>
      </c>
      <c r="B164">
        <v>30</v>
      </c>
      <c r="C164">
        <v>4.55</v>
      </c>
      <c r="D164">
        <v>550</v>
      </c>
      <c r="E164">
        <v>9.1</v>
      </c>
    </row>
    <row r="165" spans="1:6">
      <c r="A165" t="s">
        <v>147</v>
      </c>
      <c r="B165">
        <v>30</v>
      </c>
      <c r="C165">
        <v>4.55</v>
      </c>
      <c r="D165">
        <v>700</v>
      </c>
      <c r="E165">
        <v>9.1</v>
      </c>
    </row>
    <row r="166" spans="1:6">
      <c r="A166" s="49" t="s">
        <v>137</v>
      </c>
      <c r="B166">
        <v>30</v>
      </c>
      <c r="C166">
        <v>4.55</v>
      </c>
      <c r="D166">
        <v>550</v>
      </c>
      <c r="E166">
        <v>9.1</v>
      </c>
    </row>
    <row r="167" spans="1:6">
      <c r="A167" s="49" t="s">
        <v>138</v>
      </c>
      <c r="B167">
        <v>30</v>
      </c>
      <c r="C167">
        <v>4.55</v>
      </c>
      <c r="D167" s="53">
        <v>550</v>
      </c>
      <c r="E167">
        <v>9.1</v>
      </c>
    </row>
    <row r="168" spans="1:6">
      <c r="A168" s="49" t="s">
        <v>139</v>
      </c>
      <c r="B168">
        <v>30</v>
      </c>
      <c r="C168">
        <v>4.55</v>
      </c>
      <c r="D168" s="53">
        <v>550</v>
      </c>
      <c r="E168">
        <v>9.1</v>
      </c>
    </row>
    <row r="169" spans="1:6">
      <c r="A169" s="49" t="s">
        <v>141</v>
      </c>
      <c r="B169">
        <v>30</v>
      </c>
      <c r="C169">
        <v>4.55</v>
      </c>
      <c r="D169" s="53">
        <v>550</v>
      </c>
      <c r="E169">
        <v>9.1</v>
      </c>
    </row>
    <row r="170" spans="1:6">
      <c r="A170" s="73" t="s">
        <v>142</v>
      </c>
      <c r="B170">
        <v>30</v>
      </c>
      <c r="C170">
        <v>4.55</v>
      </c>
      <c r="D170" s="53">
        <v>550</v>
      </c>
      <c r="E170">
        <v>9.1</v>
      </c>
    </row>
    <row r="171" spans="1:6">
      <c r="A171" s="49" t="s">
        <v>143</v>
      </c>
      <c r="B171">
        <v>30</v>
      </c>
      <c r="C171">
        <v>4.55</v>
      </c>
      <c r="D171" s="53">
        <v>550</v>
      </c>
      <c r="E171">
        <v>9.1</v>
      </c>
    </row>
    <row r="172" spans="1:6">
      <c r="A172" s="49" t="s">
        <v>144</v>
      </c>
      <c r="B172">
        <v>30</v>
      </c>
      <c r="C172">
        <v>4.55</v>
      </c>
      <c r="D172" s="53">
        <v>550</v>
      </c>
      <c r="E172">
        <v>9.1</v>
      </c>
    </row>
    <row r="173" spans="1:6">
      <c r="A173" s="49" t="s">
        <v>145</v>
      </c>
      <c r="B173">
        <v>30</v>
      </c>
      <c r="C173">
        <v>4.55</v>
      </c>
      <c r="D173">
        <v>700</v>
      </c>
      <c r="E173">
        <v>9.1</v>
      </c>
    </row>
    <row r="174" spans="1:6" s="53" customFormat="1">
      <c r="A174" s="61" t="s">
        <v>178</v>
      </c>
      <c r="B174" s="53">
        <v>30</v>
      </c>
      <c r="C174" s="53">
        <v>4.55</v>
      </c>
      <c r="D174" s="53">
        <v>700</v>
      </c>
      <c r="E174" s="53">
        <v>9.1</v>
      </c>
    </row>
    <row r="175" spans="1:6">
      <c r="A175" s="49" t="s">
        <v>140</v>
      </c>
      <c r="B175">
        <v>30</v>
      </c>
      <c r="C175">
        <v>4.55</v>
      </c>
      <c r="D175">
        <v>550</v>
      </c>
      <c r="E175">
        <v>9.1</v>
      </c>
    </row>
    <row r="176" spans="1:6" ht="15.75" thickBot="1">
      <c r="A176" s="50" t="s">
        <v>148</v>
      </c>
      <c r="B176">
        <v>30</v>
      </c>
      <c r="C176">
        <v>4.55</v>
      </c>
      <c r="D176">
        <v>550</v>
      </c>
      <c r="E176">
        <v>9.1</v>
      </c>
      <c r="F176">
        <v>550</v>
      </c>
    </row>
    <row r="177" spans="1:11" ht="15.75" thickBot="1">
      <c r="A177" s="59" t="s">
        <v>176</v>
      </c>
      <c r="B177" s="2">
        <v>80</v>
      </c>
      <c r="C177" s="2">
        <v>12.13</v>
      </c>
      <c r="D177" s="2">
        <v>4500</v>
      </c>
      <c r="E177" s="2">
        <v>9.1</v>
      </c>
    </row>
    <row r="178" spans="1:11" ht="15.75" thickBot="1">
      <c r="A178" s="59" t="s">
        <v>175</v>
      </c>
      <c r="B178" s="2">
        <v>80</v>
      </c>
      <c r="C178" s="2">
        <v>12.13</v>
      </c>
      <c r="D178" s="2">
        <v>4500</v>
      </c>
      <c r="E178" s="2">
        <v>9.1</v>
      </c>
    </row>
    <row r="179" spans="1:11" s="60" customFormat="1" ht="15.75" thickBot="1">
      <c r="A179" s="63" t="s">
        <v>177</v>
      </c>
      <c r="B179" s="64">
        <v>200</v>
      </c>
      <c r="C179" s="64">
        <v>30.33</v>
      </c>
      <c r="D179" s="64">
        <v>2500</v>
      </c>
      <c r="E179" s="64">
        <v>9.1</v>
      </c>
      <c r="H179" s="60">
        <f>D179*11</f>
        <v>27500</v>
      </c>
      <c r="K179" s="60">
        <f>28000/11</f>
        <v>2545.4545454545455</v>
      </c>
    </row>
    <row r="180" spans="1:11" ht="15.75" thickBot="1">
      <c r="A180" s="326" t="s">
        <v>702</v>
      </c>
      <c r="B180" s="2">
        <v>80</v>
      </c>
      <c r="C180" s="2">
        <v>12.13</v>
      </c>
      <c r="D180" s="2">
        <v>5500</v>
      </c>
      <c r="E180" s="2">
        <v>9.1</v>
      </c>
    </row>
    <row r="181" spans="1:11" s="53" customFormat="1" ht="15.75" thickBot="1">
      <c r="A181" s="63"/>
    </row>
    <row r="182" spans="1:11" ht="15.75" thickBot="1">
      <c r="A182" s="53" t="s">
        <v>59</v>
      </c>
      <c r="B182" s="2">
        <v>15</v>
      </c>
      <c r="C182" s="2">
        <v>2.09</v>
      </c>
      <c r="D182" s="2">
        <v>3000</v>
      </c>
      <c r="E182" s="2">
        <v>8.3330000000000002</v>
      </c>
    </row>
    <row r="183" spans="1:11" ht="15.75" thickBot="1">
      <c r="A183" s="3" t="s">
        <v>13</v>
      </c>
      <c r="B183" s="2">
        <v>60</v>
      </c>
      <c r="C183" s="2">
        <v>8.34</v>
      </c>
      <c r="D183" s="3"/>
      <c r="E183" s="3"/>
    </row>
    <row r="184" spans="1:11" ht="15.75" thickBot="1">
      <c r="A184" s="3" t="s">
        <v>31</v>
      </c>
      <c r="B184" s="2">
        <v>25</v>
      </c>
      <c r="C184" s="2">
        <v>3.48</v>
      </c>
      <c r="D184" s="3"/>
      <c r="E184" s="3"/>
    </row>
    <row r="185" spans="1:11" ht="15.75" thickBot="1">
      <c r="A185" s="4" t="s">
        <v>19</v>
      </c>
      <c r="B185" s="3"/>
      <c r="C185" s="3"/>
      <c r="D185" s="3"/>
      <c r="E185" s="3"/>
    </row>
    <row r="186" spans="1:11" ht="15.75" thickBot="1">
      <c r="A186" s="7" t="s">
        <v>32</v>
      </c>
      <c r="B186" s="2">
        <v>45</v>
      </c>
      <c r="C186" s="2">
        <v>6.26</v>
      </c>
      <c r="D186" s="3"/>
      <c r="E186" s="3"/>
    </row>
    <row r="187" spans="1:11" s="53" customFormat="1" ht="15.75" thickBot="1">
      <c r="A187" s="175" t="s">
        <v>8</v>
      </c>
      <c r="B187" s="178">
        <v>30</v>
      </c>
      <c r="C187" s="2">
        <v>4.17</v>
      </c>
      <c r="D187" s="179"/>
      <c r="E187" s="179"/>
    </row>
    <row r="188" spans="1:11">
      <c r="A188" s="53" t="s">
        <v>33</v>
      </c>
      <c r="B188" s="5">
        <v>60</v>
      </c>
      <c r="C188" s="53">
        <f>8.333*0.7</f>
        <v>5.8331</v>
      </c>
      <c r="D188" s="53"/>
      <c r="E188" s="53"/>
    </row>
    <row r="189" spans="1:11">
      <c r="A189" s="53" t="s">
        <v>34</v>
      </c>
      <c r="B189" s="5">
        <v>30</v>
      </c>
      <c r="C189" s="8">
        <v>3.48</v>
      </c>
      <c r="D189" s="53"/>
      <c r="E189" s="53"/>
    </row>
    <row r="190" spans="1:11">
      <c r="A190" s="53" t="s">
        <v>23</v>
      </c>
      <c r="B190" s="53">
        <v>30</v>
      </c>
      <c r="C190" s="53">
        <v>2.78</v>
      </c>
      <c r="D190" s="53"/>
      <c r="E190" s="53"/>
    </row>
    <row r="191" spans="1:11" s="53" customFormat="1">
      <c r="A191" s="53" t="s">
        <v>2</v>
      </c>
      <c r="B191" s="6">
        <v>30</v>
      </c>
      <c r="C191" s="6">
        <v>4.17</v>
      </c>
    </row>
    <row r="192" spans="1:11">
      <c r="A192" s="53" t="s">
        <v>28</v>
      </c>
      <c r="B192" s="6">
        <v>60</v>
      </c>
      <c r="C192" s="53">
        <v>8.3330000000000002</v>
      </c>
      <c r="D192" s="53"/>
      <c r="E192" s="53"/>
    </row>
    <row r="193" spans="1:5">
      <c r="A193" s="65" t="s">
        <v>186</v>
      </c>
      <c r="B193" s="53"/>
      <c r="C193" s="53"/>
      <c r="D193" s="53"/>
      <c r="E193" s="53"/>
    </row>
    <row r="194" spans="1:5">
      <c r="A194" s="65" t="s">
        <v>187</v>
      </c>
      <c r="B194" s="53"/>
      <c r="C194" s="53"/>
      <c r="D194" s="53"/>
      <c r="E194" s="53"/>
    </row>
    <row r="195" spans="1:5">
      <c r="A195" s="65" t="s">
        <v>188</v>
      </c>
    </row>
    <row r="196" spans="1:5">
      <c r="A196" s="65" t="s">
        <v>189</v>
      </c>
    </row>
    <row r="197" spans="1:5" ht="15.75" thickBot="1">
      <c r="A197" s="53" t="s">
        <v>183</v>
      </c>
    </row>
    <row r="198" spans="1:5" ht="30.75" thickBot="1">
      <c r="A198" s="42" t="s">
        <v>116</v>
      </c>
      <c r="B198" s="42" t="s">
        <v>117</v>
      </c>
      <c r="C198" s="42" t="s">
        <v>118</v>
      </c>
      <c r="D198" s="42" t="s">
        <v>119</v>
      </c>
      <c r="E198" s="42" t="s">
        <v>120</v>
      </c>
    </row>
    <row r="199" spans="1:5" ht="15.75" thickBot="1">
      <c r="A199" s="3" t="s">
        <v>146</v>
      </c>
      <c r="B199" s="2">
        <v>30</v>
      </c>
      <c r="C199" s="2">
        <v>4.55</v>
      </c>
      <c r="D199" s="2">
        <v>550</v>
      </c>
      <c r="E199" s="2">
        <v>9.1</v>
      </c>
    </row>
    <row r="200" spans="1:5" ht="15.75" thickBot="1">
      <c r="A200" s="3" t="s">
        <v>147</v>
      </c>
      <c r="B200" s="2">
        <v>30</v>
      </c>
      <c r="C200" s="2">
        <v>4.55</v>
      </c>
      <c r="D200" s="2">
        <v>700</v>
      </c>
      <c r="E200" s="2">
        <v>9.1</v>
      </c>
    </row>
    <row r="201" spans="1:5" ht="15.75" thickBot="1">
      <c r="A201" s="3" t="s">
        <v>183</v>
      </c>
      <c r="B201" s="3"/>
      <c r="C201" s="3"/>
      <c r="D201" s="3"/>
      <c r="E201" s="3"/>
    </row>
    <row r="202" spans="1:5" ht="15.75" thickBot="1">
      <c r="A202" s="7" t="s">
        <v>184</v>
      </c>
      <c r="B202" s="2">
        <v>20</v>
      </c>
      <c r="C202" s="2">
        <v>3.03</v>
      </c>
      <c r="D202" s="2">
        <v>500</v>
      </c>
      <c r="E202" s="2">
        <v>9.1</v>
      </c>
    </row>
    <row r="203" spans="1:5" ht="15.75" thickBot="1">
      <c r="A203" s="7" t="s">
        <v>185</v>
      </c>
      <c r="B203" s="2">
        <v>30</v>
      </c>
      <c r="C203" s="2">
        <v>4.55</v>
      </c>
      <c r="D203" s="2">
        <v>300</v>
      </c>
      <c r="E203" s="2">
        <v>9.1</v>
      </c>
    </row>
    <row r="204" spans="1:5" ht="15.75" thickBot="1">
      <c r="A204" s="62" t="s">
        <v>179</v>
      </c>
      <c r="B204" s="2">
        <v>30</v>
      </c>
      <c r="C204" s="2">
        <v>4.55</v>
      </c>
      <c r="D204" s="2">
        <v>500</v>
      </c>
      <c r="E204" s="2">
        <v>9.1</v>
      </c>
    </row>
    <row r="205" spans="1:5" ht="15.75" thickBot="1">
      <c r="A205" s="62" t="s">
        <v>180</v>
      </c>
      <c r="B205" s="2">
        <v>20</v>
      </c>
      <c r="C205" s="2">
        <v>3.03</v>
      </c>
      <c r="D205" s="2">
        <v>500</v>
      </c>
      <c r="E205" s="2">
        <v>9.1</v>
      </c>
    </row>
    <row r="206" spans="1:5" ht="15.75" thickBot="1">
      <c r="A206" s="62" t="s">
        <v>181</v>
      </c>
      <c r="B206" s="2">
        <v>30</v>
      </c>
      <c r="C206" s="2">
        <v>4.55</v>
      </c>
      <c r="D206" s="2">
        <v>500</v>
      </c>
      <c r="E206" s="2">
        <v>9.1</v>
      </c>
    </row>
    <row r="207" spans="1:5" ht="15.75" thickBot="1">
      <c r="A207" s="62" t="s">
        <v>182</v>
      </c>
    </row>
    <row r="208" spans="1:5" ht="15.75" thickBot="1">
      <c r="A208" s="72" t="s">
        <v>202</v>
      </c>
      <c r="B208" s="2">
        <v>30</v>
      </c>
      <c r="C208" s="2">
        <v>4.55</v>
      </c>
      <c r="D208" s="2">
        <v>500</v>
      </c>
      <c r="E208" s="2">
        <v>9.1</v>
      </c>
    </row>
    <row r="209" spans="1:5" ht="15.75" thickBot="1">
      <c r="A209" s="72" t="s">
        <v>203</v>
      </c>
      <c r="B209" s="2">
        <v>30</v>
      </c>
      <c r="C209" s="2">
        <v>4.55</v>
      </c>
      <c r="D209" s="2">
        <v>520</v>
      </c>
      <c r="E209" s="2">
        <v>9.1</v>
      </c>
    </row>
    <row r="210" spans="1:5" ht="15.75" thickBot="1">
      <c r="A210" s="72" t="s">
        <v>204</v>
      </c>
      <c r="B210" s="2">
        <v>30</v>
      </c>
      <c r="C210" s="2">
        <v>4.55</v>
      </c>
      <c r="D210" s="2">
        <v>520</v>
      </c>
      <c r="E210" s="2">
        <v>9.1</v>
      </c>
    </row>
    <row r="211" spans="1:5" ht="15.75" thickBot="1">
      <c r="A211" s="170" t="s">
        <v>217</v>
      </c>
      <c r="B211" s="6">
        <v>50</v>
      </c>
      <c r="C211">
        <f>9.1*50/60</f>
        <v>7.583333333333333</v>
      </c>
      <c r="D211" s="6">
        <v>300</v>
      </c>
      <c r="E211" s="2">
        <v>9.1</v>
      </c>
    </row>
    <row r="212" spans="1:5" ht="15.75" thickBot="1">
      <c r="A212" s="171" t="s">
        <v>220</v>
      </c>
      <c r="B212" s="6">
        <v>40</v>
      </c>
      <c r="C212">
        <f>40/60*9.1</f>
        <v>6.0666666666666664</v>
      </c>
      <c r="D212" s="6">
        <v>550</v>
      </c>
      <c r="E212" s="2">
        <v>9.1</v>
      </c>
    </row>
    <row r="213" spans="1:5" ht="15.75" thickBot="1">
      <c r="A213" s="171" t="s">
        <v>221</v>
      </c>
      <c r="B213" s="6">
        <v>30</v>
      </c>
      <c r="C213">
        <f>30/60*9.1</f>
        <v>4.55</v>
      </c>
      <c r="D213" s="6">
        <v>700</v>
      </c>
      <c r="E213" s="2">
        <v>9.1</v>
      </c>
    </row>
    <row r="214" spans="1:5" ht="15.75" thickBot="1">
      <c r="A214" s="170" t="s">
        <v>218</v>
      </c>
      <c r="B214" s="6">
        <v>40</v>
      </c>
      <c r="C214">
        <v>6.06</v>
      </c>
      <c r="D214" s="6">
        <v>550</v>
      </c>
      <c r="E214" s="5">
        <v>9.1</v>
      </c>
    </row>
    <row r="215" spans="1:5" ht="15.75" thickBot="1">
      <c r="A215" s="170" t="s">
        <v>219</v>
      </c>
      <c r="B215" s="6">
        <v>50</v>
      </c>
      <c r="C215" s="53">
        <f>9.1*50/60</f>
        <v>7.583333333333333</v>
      </c>
      <c r="D215" s="6">
        <v>300</v>
      </c>
      <c r="E215" s="2">
        <v>9.1</v>
      </c>
    </row>
    <row r="216" spans="1:5" ht="15.75" thickBot="1">
      <c r="A216" s="328" t="s">
        <v>704</v>
      </c>
      <c r="B216" s="6">
        <v>30</v>
      </c>
      <c r="C216" s="247">
        <f>9.1*50/60</f>
        <v>7.583333333333333</v>
      </c>
      <c r="D216" s="6">
        <v>300</v>
      </c>
      <c r="E216" s="2">
        <v>9.1</v>
      </c>
    </row>
    <row r="217" spans="1:5">
      <c r="A217" s="328" t="s">
        <v>705</v>
      </c>
      <c r="B217" s="6">
        <v>30</v>
      </c>
      <c r="C217">
        <v>4.55</v>
      </c>
      <c r="D217" s="6">
        <v>700</v>
      </c>
      <c r="E217" s="5">
        <v>9.1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E66"/>
  <sheetViews>
    <sheetView workbookViewId="0">
      <selection activeCell="A43" sqref="A43:C43"/>
    </sheetView>
  </sheetViews>
  <sheetFormatPr defaultRowHeight="15"/>
  <cols>
    <col min="1" max="1" width="38.85546875" customWidth="1"/>
    <col min="2" max="2" width="19.140625" customWidth="1"/>
    <col min="3" max="3" width="11.140625" customWidth="1"/>
  </cols>
  <sheetData>
    <row r="1" spans="1:5">
      <c r="B1" t="s">
        <v>0</v>
      </c>
    </row>
    <row r="3" spans="1:5">
      <c r="A3" t="s">
        <v>1</v>
      </c>
      <c r="B3">
        <v>30</v>
      </c>
      <c r="C3">
        <v>2.78</v>
      </c>
    </row>
    <row r="4" spans="1:5">
      <c r="A4" t="s">
        <v>2</v>
      </c>
      <c r="B4">
        <v>30</v>
      </c>
      <c r="C4">
        <v>4.17</v>
      </c>
    </row>
    <row r="5" spans="1:5">
      <c r="A5" t="s">
        <v>3</v>
      </c>
      <c r="B5">
        <v>25</v>
      </c>
      <c r="C5" s="1">
        <v>3.48</v>
      </c>
    </row>
    <row r="6" spans="1:5" ht="15.75" thickBot="1">
      <c r="A6" t="s">
        <v>4</v>
      </c>
      <c r="B6">
        <v>50</v>
      </c>
      <c r="C6" s="1">
        <v>6.95</v>
      </c>
    </row>
    <row r="7" spans="1:5" ht="15.75" thickBot="1">
      <c r="A7" t="s">
        <v>5</v>
      </c>
      <c r="B7" s="2">
        <v>75</v>
      </c>
      <c r="C7" s="2">
        <v>10.43</v>
      </c>
    </row>
    <row r="8" spans="1:5" ht="15.75" thickBot="1">
      <c r="A8" t="s">
        <v>6</v>
      </c>
      <c r="B8" s="2">
        <v>100</v>
      </c>
      <c r="C8" s="2">
        <v>13.9</v>
      </c>
    </row>
    <row r="9" spans="1:5">
      <c r="A9" t="s">
        <v>7</v>
      </c>
      <c r="B9">
        <v>60</v>
      </c>
      <c r="C9">
        <v>8.3330000000000002</v>
      </c>
    </row>
    <row r="10" spans="1:5">
      <c r="A10" t="s">
        <v>8</v>
      </c>
      <c r="B10">
        <v>30</v>
      </c>
      <c r="C10">
        <v>4.17</v>
      </c>
    </row>
    <row r="11" spans="1:5">
      <c r="A11" t="s">
        <v>9</v>
      </c>
      <c r="B11">
        <v>15</v>
      </c>
      <c r="C11">
        <v>2.78</v>
      </c>
    </row>
    <row r="12" spans="1:5" ht="15.75" thickBot="1">
      <c r="A12" t="s">
        <v>10</v>
      </c>
      <c r="B12">
        <v>60</v>
      </c>
      <c r="C12">
        <v>8.3332999999999995</v>
      </c>
    </row>
    <row r="13" spans="1:5" ht="15.75" thickBot="1">
      <c r="A13" s="3" t="s">
        <v>11</v>
      </c>
      <c r="B13" s="2">
        <v>80</v>
      </c>
      <c r="C13" s="2">
        <v>11.12</v>
      </c>
      <c r="D13" s="2">
        <v>2000</v>
      </c>
      <c r="E13" s="2">
        <v>8.3330000000000002</v>
      </c>
    </row>
    <row r="14" spans="1:5" ht="15.75" thickBot="1">
      <c r="A14" t="s">
        <v>12</v>
      </c>
      <c r="B14">
        <v>120</v>
      </c>
      <c r="C14">
        <f>8.333*2</f>
        <v>16.666</v>
      </c>
    </row>
    <row r="15" spans="1:5" ht="15.75" thickBot="1">
      <c r="A15" s="3" t="s">
        <v>13</v>
      </c>
      <c r="B15">
        <v>60</v>
      </c>
      <c r="C15">
        <v>8.3330000000000002</v>
      </c>
    </row>
    <row r="16" spans="1:5">
      <c r="A16" s="53" t="s">
        <v>205</v>
      </c>
      <c r="B16">
        <v>15</v>
      </c>
      <c r="C16">
        <v>2.78</v>
      </c>
    </row>
    <row r="20" spans="1:5">
      <c r="A20" t="s">
        <v>14</v>
      </c>
    </row>
    <row r="21" spans="1:5" ht="15.75" thickBot="1">
      <c r="A21" t="s">
        <v>15</v>
      </c>
      <c r="B21">
        <v>35</v>
      </c>
      <c r="C21">
        <f>8.333*35/60</f>
        <v>4.8609166666666672</v>
      </c>
    </row>
    <row r="22" spans="1:5" ht="15.75" thickBot="1">
      <c r="A22" s="3" t="s">
        <v>11</v>
      </c>
      <c r="B22" s="2">
        <v>50</v>
      </c>
      <c r="C22" s="2">
        <v>6.94</v>
      </c>
      <c r="D22" s="2">
        <v>3000</v>
      </c>
      <c r="E22" s="2">
        <v>8.3332999999999995</v>
      </c>
    </row>
    <row r="23" spans="1:5" ht="15.75" thickBot="1">
      <c r="A23" s="3" t="s">
        <v>13</v>
      </c>
      <c r="B23" s="2">
        <v>60</v>
      </c>
      <c r="C23" s="2">
        <v>8.34</v>
      </c>
      <c r="D23" s="3"/>
      <c r="E23" s="3"/>
    </row>
    <row r="24" spans="1:5" ht="15.75" thickBot="1">
      <c r="A24" s="3" t="s">
        <v>3</v>
      </c>
      <c r="B24" s="2">
        <v>25</v>
      </c>
      <c r="C24" s="2">
        <v>3.48</v>
      </c>
      <c r="D24" s="3"/>
      <c r="E24" s="3"/>
    </row>
    <row r="25" spans="1:5" ht="15.75" thickBot="1">
      <c r="A25" s="3" t="s">
        <v>16</v>
      </c>
      <c r="B25" s="2">
        <v>50</v>
      </c>
      <c r="C25" s="2">
        <v>6.95</v>
      </c>
      <c r="D25" s="3"/>
      <c r="E25" s="3"/>
    </row>
    <row r="26" spans="1:5" ht="15.75" thickBot="1">
      <c r="A26" s="3" t="s">
        <v>17</v>
      </c>
      <c r="B26" s="2">
        <v>75</v>
      </c>
      <c r="C26" s="2">
        <v>10.43</v>
      </c>
      <c r="D26" s="3"/>
      <c r="E26" s="3"/>
    </row>
    <row r="27" spans="1:5" ht="15.75" thickBot="1">
      <c r="A27" s="3" t="s">
        <v>18</v>
      </c>
      <c r="B27" s="2">
        <v>100</v>
      </c>
      <c r="C27" s="2">
        <v>13.9</v>
      </c>
      <c r="D27" s="3"/>
      <c r="E27" s="3"/>
    </row>
    <row r="28" spans="1:5" ht="15.75" thickBot="1">
      <c r="A28" s="4" t="s">
        <v>19</v>
      </c>
      <c r="B28" s="3"/>
      <c r="C28" s="3"/>
      <c r="D28" s="3"/>
      <c r="E28" s="3"/>
    </row>
    <row r="29" spans="1:5">
      <c r="A29" t="s">
        <v>20</v>
      </c>
      <c r="B29" s="5">
        <v>120</v>
      </c>
      <c r="C29" s="5">
        <v>16.670000000000002</v>
      </c>
    </row>
    <row r="30" spans="1:5">
      <c r="A30" t="s">
        <v>21</v>
      </c>
      <c r="C30">
        <f>8.333*0.7</f>
        <v>5.8331</v>
      </c>
    </row>
    <row r="31" spans="1:5">
      <c r="A31" t="s">
        <v>22</v>
      </c>
      <c r="B31" s="6">
        <v>30</v>
      </c>
      <c r="C31" s="6">
        <v>2.78</v>
      </c>
    </row>
    <row r="32" spans="1:5">
      <c r="A32" t="s">
        <v>23</v>
      </c>
      <c r="B32">
        <v>30</v>
      </c>
      <c r="C32">
        <v>2.78</v>
      </c>
    </row>
    <row r="33" spans="1:3">
      <c r="A33" t="s">
        <v>24</v>
      </c>
      <c r="C33">
        <f>C22/2</f>
        <v>3.47</v>
      </c>
    </row>
    <row r="34" spans="1:3">
      <c r="A34" t="s">
        <v>10</v>
      </c>
      <c r="B34">
        <v>60</v>
      </c>
      <c r="C34">
        <v>8.3332999999999995</v>
      </c>
    </row>
    <row r="35" spans="1:3">
      <c r="A35" t="s">
        <v>8</v>
      </c>
      <c r="B35">
        <v>30</v>
      </c>
      <c r="C35">
        <v>4.17</v>
      </c>
    </row>
    <row r="36" spans="1:3">
      <c r="A36" t="s">
        <v>25</v>
      </c>
      <c r="B36">
        <v>40</v>
      </c>
      <c r="C36">
        <f>8.333*40/60</f>
        <v>5.5553333333333335</v>
      </c>
    </row>
    <row r="37" spans="1:3">
      <c r="A37" t="s">
        <v>2</v>
      </c>
      <c r="B37">
        <v>30</v>
      </c>
      <c r="C37">
        <v>4.17</v>
      </c>
    </row>
    <row r="38" spans="1:3">
      <c r="A38" t="s">
        <v>26</v>
      </c>
      <c r="C38">
        <v>6.94</v>
      </c>
    </row>
    <row r="39" spans="1:3">
      <c r="A39" t="s">
        <v>27</v>
      </c>
      <c r="B39">
        <v>60</v>
      </c>
      <c r="C39">
        <f>8.333*0.7</f>
        <v>5.8331</v>
      </c>
    </row>
    <row r="40" spans="1:3">
      <c r="A40" t="s">
        <v>7</v>
      </c>
      <c r="B40">
        <v>60</v>
      </c>
      <c r="C40">
        <v>8.3332999999999995</v>
      </c>
    </row>
    <row r="41" spans="1:3">
      <c r="A41" t="s">
        <v>28</v>
      </c>
      <c r="B41">
        <v>60</v>
      </c>
      <c r="C41">
        <v>8.3332999999999995</v>
      </c>
    </row>
    <row r="42" spans="1:3">
      <c r="A42" t="s">
        <v>29</v>
      </c>
      <c r="B42">
        <v>60</v>
      </c>
      <c r="C42">
        <v>8.3330000000000002</v>
      </c>
    </row>
    <row r="43" spans="1:3">
      <c r="A43" s="53" t="s">
        <v>205</v>
      </c>
      <c r="B43" s="53">
        <v>15</v>
      </c>
      <c r="C43" s="53">
        <v>2.78</v>
      </c>
    </row>
    <row r="57" spans="1:5" ht="15.75" thickBot="1"/>
    <row r="58" spans="1:5" ht="15.75" thickBot="1">
      <c r="A58" s="3" t="s">
        <v>30</v>
      </c>
      <c r="B58" s="2">
        <v>15</v>
      </c>
      <c r="C58" s="2">
        <v>2.09</v>
      </c>
      <c r="D58" s="2">
        <v>3000</v>
      </c>
      <c r="E58" s="2">
        <v>8.34</v>
      </c>
    </row>
    <row r="59" spans="1:5" ht="15.75" thickBot="1">
      <c r="A59" s="3" t="s">
        <v>13</v>
      </c>
      <c r="B59" s="2">
        <v>60</v>
      </c>
      <c r="C59" s="2">
        <v>8.34</v>
      </c>
      <c r="D59" s="3"/>
      <c r="E59" s="3"/>
    </row>
    <row r="60" spans="1:5" ht="15.75" thickBot="1">
      <c r="A60" s="3" t="s">
        <v>31</v>
      </c>
      <c r="B60" s="2">
        <v>25</v>
      </c>
      <c r="C60" s="2">
        <v>3.48</v>
      </c>
      <c r="D60" s="3"/>
      <c r="E60" s="3"/>
    </row>
    <row r="61" spans="1:5" ht="15.75" thickBot="1">
      <c r="A61" s="4" t="s">
        <v>19</v>
      </c>
      <c r="B61" s="3"/>
      <c r="C61" s="3"/>
      <c r="D61" s="3"/>
      <c r="E61" s="3"/>
    </row>
    <row r="62" spans="1:5" ht="15.75" thickBot="1">
      <c r="A62" s="7" t="s">
        <v>32</v>
      </c>
      <c r="B62" s="2">
        <v>45</v>
      </c>
      <c r="C62" s="2">
        <v>6.26</v>
      </c>
      <c r="D62" s="3"/>
      <c r="E62" s="3"/>
    </row>
    <row r="63" spans="1:5">
      <c r="A63" t="s">
        <v>33</v>
      </c>
      <c r="B63" s="5">
        <v>60</v>
      </c>
      <c r="C63">
        <f>8.333*0.7</f>
        <v>5.8331</v>
      </c>
    </row>
    <row r="64" spans="1:5">
      <c r="A64" t="s">
        <v>34</v>
      </c>
      <c r="B64" s="5">
        <v>30</v>
      </c>
      <c r="C64" s="8">
        <v>3.48</v>
      </c>
    </row>
    <row r="65" spans="1:3">
      <c r="A65" t="s">
        <v>23</v>
      </c>
      <c r="B65">
        <v>30</v>
      </c>
      <c r="C65">
        <v>2.78</v>
      </c>
    </row>
    <row r="66" spans="1:3">
      <c r="A66" t="s">
        <v>28</v>
      </c>
      <c r="B66" s="6">
        <v>60</v>
      </c>
      <c r="C66">
        <v>8.3330000000000002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56"/>
  <sheetViews>
    <sheetView workbookViewId="0">
      <selection activeCell="G3" sqref="G3"/>
    </sheetView>
  </sheetViews>
  <sheetFormatPr defaultRowHeight="15"/>
  <cols>
    <col min="2" max="2" width="13.7109375" customWidth="1"/>
    <col min="4" max="4" width="35" customWidth="1"/>
    <col min="7" max="7" width="15.28515625" customWidth="1"/>
  </cols>
  <sheetData>
    <row r="1" spans="1:9" ht="18">
      <c r="A1" s="347"/>
      <c r="B1" s="347"/>
      <c r="C1" s="347"/>
      <c r="D1" s="347"/>
      <c r="E1" s="347"/>
      <c r="F1" s="347"/>
      <c r="G1" s="347"/>
      <c r="H1" s="347"/>
      <c r="I1" s="347"/>
    </row>
    <row r="2" spans="1:9">
      <c r="A2" s="189" t="s">
        <v>43</v>
      </c>
      <c r="B2" s="189" t="s">
        <v>44</v>
      </c>
      <c r="C2" s="189" t="s">
        <v>45</v>
      </c>
      <c r="D2" s="189" t="s">
        <v>45</v>
      </c>
      <c r="E2" s="189" t="s">
        <v>46</v>
      </c>
      <c r="F2" s="189" t="s">
        <v>47</v>
      </c>
      <c r="G2" t="e">
        <f>VLOOKUP(B2,категория!A$2:B$14,2,FALSE)</f>
        <v>#N/A</v>
      </c>
      <c r="H2" s="51"/>
      <c r="I2" s="51"/>
    </row>
    <row r="3" spans="1:9">
      <c r="A3" s="263">
        <v>3430</v>
      </c>
      <c r="B3" s="264">
        <v>114</v>
      </c>
      <c r="C3" s="264">
        <v>1</v>
      </c>
      <c r="D3" s="264" t="s">
        <v>40</v>
      </c>
      <c r="E3" s="264">
        <v>1334</v>
      </c>
      <c r="F3" s="264">
        <v>295</v>
      </c>
      <c r="G3" s="53" t="str">
        <f>VLOOKUP(B3,категория!A$2:B$14,2,FALSE)</f>
        <v>картон от 270</v>
      </c>
      <c r="H3" s="51"/>
      <c r="I3" s="51"/>
    </row>
    <row r="4" spans="1:9">
      <c r="A4" s="263">
        <v>3432</v>
      </c>
      <c r="B4" s="264">
        <v>114</v>
      </c>
      <c r="C4" s="264">
        <v>1</v>
      </c>
      <c r="D4" s="264" t="s">
        <v>35</v>
      </c>
      <c r="E4" s="264">
        <v>334</v>
      </c>
      <c r="F4" s="264">
        <v>300</v>
      </c>
      <c r="G4" s="53" t="str">
        <f>VLOOKUP(B4,категория!A$2:B$14,2,FALSE)</f>
        <v>картон от 270</v>
      </c>
      <c r="H4" s="51"/>
      <c r="I4" s="51"/>
    </row>
    <row r="5" spans="1:9">
      <c r="A5" s="263">
        <v>3434</v>
      </c>
      <c r="B5" s="264">
        <v>133</v>
      </c>
      <c r="C5" s="264">
        <v>1</v>
      </c>
      <c r="D5" s="264" t="s">
        <v>40</v>
      </c>
      <c r="E5" s="264">
        <v>85</v>
      </c>
      <c r="F5" s="264">
        <v>325</v>
      </c>
      <c r="G5" s="53" t="str">
        <f>VLOOKUP(B5,категория!A$2:B$14,2,FALSE)</f>
        <v>картон от 270</v>
      </c>
      <c r="H5" s="51"/>
      <c r="I5" s="51"/>
    </row>
    <row r="6" spans="1:9">
      <c r="A6" s="263">
        <v>3438</v>
      </c>
      <c r="B6" s="264">
        <v>110</v>
      </c>
      <c r="C6" s="264">
        <v>2</v>
      </c>
      <c r="D6" s="264" t="s">
        <v>41</v>
      </c>
      <c r="E6" s="264">
        <v>500</v>
      </c>
      <c r="F6" s="264">
        <v>170</v>
      </c>
      <c r="G6" s="53" t="str">
        <f>VLOOKUP(B6,категория!A$2:B$14,2,FALSE)</f>
        <v>мел+офсет</v>
      </c>
      <c r="H6" s="51"/>
      <c r="I6" s="51"/>
    </row>
    <row r="7" spans="1:9">
      <c r="A7" s="263">
        <v>3439</v>
      </c>
      <c r="B7" s="264">
        <v>110</v>
      </c>
      <c r="C7" s="264">
        <v>2</v>
      </c>
      <c r="D7" s="264" t="s">
        <v>41</v>
      </c>
      <c r="E7" s="264">
        <v>1750</v>
      </c>
      <c r="F7" s="264">
        <v>200</v>
      </c>
      <c r="G7" s="53" t="str">
        <f>VLOOKUP(B7,категория!A$2:B$14,2,FALSE)</f>
        <v>мел+офсет</v>
      </c>
      <c r="H7" s="51"/>
      <c r="I7" s="51"/>
    </row>
    <row r="8" spans="1:9">
      <c r="A8" s="263">
        <v>3439</v>
      </c>
      <c r="B8" s="264">
        <v>126</v>
      </c>
      <c r="C8" s="264">
        <v>2</v>
      </c>
      <c r="D8" s="264" t="s">
        <v>41</v>
      </c>
      <c r="E8" s="264">
        <v>1750</v>
      </c>
      <c r="F8" s="264">
        <v>200</v>
      </c>
      <c r="G8" s="53" t="str">
        <f>VLOOKUP(B8,категория!A$2:B$14,2,FALSE)</f>
        <v>картон до 250</v>
      </c>
      <c r="H8" s="51"/>
      <c r="I8" s="51"/>
    </row>
    <row r="9" spans="1:9">
      <c r="A9" s="263">
        <v>3441</v>
      </c>
      <c r="B9" s="264">
        <v>112</v>
      </c>
      <c r="C9" s="264">
        <v>1</v>
      </c>
      <c r="D9" s="264" t="s">
        <v>149</v>
      </c>
      <c r="E9" s="264">
        <v>25000</v>
      </c>
      <c r="F9" s="264">
        <v>45</v>
      </c>
      <c r="G9" s="53" t="str">
        <f>VLOOKUP(B9,категория!A$2:B$14,2,FALSE)</f>
        <v>мел+офсет</v>
      </c>
      <c r="H9" s="51"/>
      <c r="I9" s="51"/>
    </row>
    <row r="10" spans="1:9">
      <c r="A10" s="263">
        <v>3442</v>
      </c>
      <c r="B10" s="264">
        <v>126</v>
      </c>
      <c r="C10" s="264">
        <v>1</v>
      </c>
      <c r="D10" s="264" t="s">
        <v>35</v>
      </c>
      <c r="E10" s="264">
        <v>1000</v>
      </c>
      <c r="F10" s="264">
        <v>215</v>
      </c>
      <c r="G10" s="53" t="str">
        <f>VLOOKUP(B10,категория!A$2:B$14,2,FALSE)</f>
        <v>картон до 250</v>
      </c>
      <c r="H10" s="51"/>
      <c r="I10" s="51"/>
    </row>
    <row r="11" spans="1:9">
      <c r="A11" s="263">
        <v>3442</v>
      </c>
      <c r="B11" s="264">
        <v>131</v>
      </c>
      <c r="C11" s="264">
        <v>1</v>
      </c>
      <c r="D11" s="264" t="s">
        <v>51</v>
      </c>
      <c r="E11" s="264">
        <v>1000</v>
      </c>
      <c r="F11" s="264">
        <v>300</v>
      </c>
      <c r="G11" s="53" t="e">
        <f>VLOOKUP(B11,категория!A$2:B$14,2,FALSE)</f>
        <v>#N/A</v>
      </c>
      <c r="H11" s="51"/>
      <c r="I11" s="51"/>
    </row>
    <row r="12" spans="1:9">
      <c r="A12" s="263">
        <v>3442</v>
      </c>
      <c r="B12" s="264">
        <v>132</v>
      </c>
      <c r="C12" s="264">
        <v>1</v>
      </c>
      <c r="D12" s="264" t="s">
        <v>35</v>
      </c>
      <c r="E12" s="264">
        <v>1000</v>
      </c>
      <c r="F12" s="264">
        <v>0</v>
      </c>
      <c r="G12" s="53" t="str">
        <f>VLOOKUP(B12,категория!A$2:B$14,2,FALSE)</f>
        <v xml:space="preserve">лак </v>
      </c>
      <c r="H12" s="51"/>
      <c r="I12" s="51"/>
    </row>
    <row r="13" spans="1:9">
      <c r="A13" s="263">
        <v>3443</v>
      </c>
      <c r="B13" s="264">
        <v>126</v>
      </c>
      <c r="C13" s="264">
        <v>1</v>
      </c>
      <c r="D13" s="264" t="s">
        <v>35</v>
      </c>
      <c r="E13" s="264">
        <v>1000</v>
      </c>
      <c r="F13" s="264">
        <v>215</v>
      </c>
      <c r="G13" s="53" t="str">
        <f>VLOOKUP(B13,категория!A$2:B$14,2,FALSE)</f>
        <v>картон до 250</v>
      </c>
      <c r="H13" s="51"/>
      <c r="I13" s="51"/>
    </row>
    <row r="14" spans="1:9">
      <c r="A14" s="263">
        <v>3443</v>
      </c>
      <c r="B14" s="264">
        <v>131</v>
      </c>
      <c r="C14" s="264">
        <v>1</v>
      </c>
      <c r="D14" s="264" t="s">
        <v>51</v>
      </c>
      <c r="E14" s="264">
        <v>1000</v>
      </c>
      <c r="F14" s="264">
        <v>300</v>
      </c>
      <c r="G14" s="53" t="e">
        <f>VLOOKUP(B14,категория!A$2:B$14,2,FALSE)</f>
        <v>#N/A</v>
      </c>
      <c r="H14" s="51"/>
      <c r="I14" s="51"/>
    </row>
    <row r="15" spans="1:9">
      <c r="A15" s="263">
        <v>3443</v>
      </c>
      <c r="B15" s="264">
        <v>132</v>
      </c>
      <c r="C15" s="264">
        <v>1</v>
      </c>
      <c r="D15" s="264" t="s">
        <v>35</v>
      </c>
      <c r="E15" s="264">
        <v>1000</v>
      </c>
      <c r="F15" s="264">
        <v>0</v>
      </c>
      <c r="G15" s="53" t="str">
        <f>VLOOKUP(B15,категория!A$2:B$14,2,FALSE)</f>
        <v xml:space="preserve">лак </v>
      </c>
      <c r="H15" s="51"/>
      <c r="I15" s="51"/>
    </row>
    <row r="16" spans="1:9">
      <c r="A16" s="263">
        <v>3447</v>
      </c>
      <c r="B16" s="264">
        <v>112</v>
      </c>
      <c r="C16" s="264">
        <v>1</v>
      </c>
      <c r="D16" s="264" t="s">
        <v>330</v>
      </c>
      <c r="E16" s="264">
        <v>500</v>
      </c>
      <c r="F16" s="264">
        <v>200</v>
      </c>
      <c r="G16" s="53" t="str">
        <f>VLOOKUP(B16,категория!A$2:B$14,2,FALSE)</f>
        <v>мел+офсет</v>
      </c>
    </row>
    <row r="17" spans="1:7">
      <c r="A17" s="263">
        <v>3451</v>
      </c>
      <c r="B17" s="264">
        <v>127</v>
      </c>
      <c r="C17" s="264">
        <v>1</v>
      </c>
      <c r="D17" s="264" t="s">
        <v>35</v>
      </c>
      <c r="E17" s="264">
        <v>10000</v>
      </c>
      <c r="F17" s="264">
        <v>230</v>
      </c>
      <c r="G17" s="53" t="str">
        <f>VLOOKUP(B17,категория!A$2:B$14,2,FALSE)</f>
        <v>картон до 250</v>
      </c>
    </row>
    <row r="18" spans="1:7">
      <c r="A18" s="263">
        <v>3451</v>
      </c>
      <c r="B18" s="264">
        <v>132</v>
      </c>
      <c r="C18" s="264">
        <v>1</v>
      </c>
      <c r="D18" s="264" t="s">
        <v>35</v>
      </c>
      <c r="E18" s="264">
        <v>10000</v>
      </c>
      <c r="F18" s="264"/>
      <c r="G18" s="53" t="str">
        <f>VLOOKUP(B18,категория!A$2:B$14,2,FALSE)</f>
        <v xml:space="preserve">лак </v>
      </c>
    </row>
    <row r="19" spans="1:7">
      <c r="A19" s="263">
        <v>3454</v>
      </c>
      <c r="B19" s="264">
        <v>126</v>
      </c>
      <c r="C19" s="264">
        <v>1</v>
      </c>
      <c r="D19" s="264" t="s">
        <v>35</v>
      </c>
      <c r="E19" s="264">
        <v>1000</v>
      </c>
      <c r="F19" s="264">
        <v>215</v>
      </c>
      <c r="G19" s="53" t="str">
        <f>VLOOKUP(B19,категория!A$2:B$14,2,FALSE)</f>
        <v>картон до 250</v>
      </c>
    </row>
    <row r="20" spans="1:7">
      <c r="A20" s="263">
        <v>3454</v>
      </c>
      <c r="B20" s="264">
        <v>131</v>
      </c>
      <c r="C20" s="264">
        <v>1</v>
      </c>
      <c r="D20" s="264" t="s">
        <v>51</v>
      </c>
      <c r="E20" s="264">
        <v>1000</v>
      </c>
      <c r="F20" s="264">
        <v>300</v>
      </c>
      <c r="G20" s="53" t="e">
        <f>VLOOKUP(B20,категория!A$2:B$14,2,FALSE)</f>
        <v>#N/A</v>
      </c>
    </row>
    <row r="21" spans="1:7">
      <c r="A21" s="263">
        <v>3454</v>
      </c>
      <c r="B21" s="264">
        <v>132</v>
      </c>
      <c r="C21" s="264">
        <v>1</v>
      </c>
      <c r="D21" s="264" t="s">
        <v>35</v>
      </c>
      <c r="E21" s="264">
        <v>1000</v>
      </c>
      <c r="F21" s="264">
        <v>0</v>
      </c>
      <c r="G21" s="53" t="str">
        <f>VLOOKUP(B21,категория!A$2:B$14,2,FALSE)</f>
        <v xml:space="preserve">лак </v>
      </c>
    </row>
    <row r="22" spans="1:7">
      <c r="A22" s="263">
        <v>3455</v>
      </c>
      <c r="B22" s="264">
        <v>114</v>
      </c>
      <c r="C22" s="264">
        <v>1</v>
      </c>
      <c r="D22" s="264" t="s">
        <v>35</v>
      </c>
      <c r="E22" s="264">
        <v>20000</v>
      </c>
      <c r="F22" s="264">
        <v>300</v>
      </c>
      <c r="G22" s="53" t="str">
        <f>VLOOKUP(B22,категория!A$2:B$14,2,FALSE)</f>
        <v>картон от 270</v>
      </c>
    </row>
    <row r="23" spans="1:7">
      <c r="A23" s="263">
        <v>3461</v>
      </c>
      <c r="B23" s="264">
        <v>123</v>
      </c>
      <c r="C23" s="264">
        <v>1</v>
      </c>
      <c r="D23" s="264" t="s">
        <v>41</v>
      </c>
      <c r="E23" s="264">
        <v>25</v>
      </c>
      <c r="F23" s="264">
        <v>300</v>
      </c>
      <c r="G23" s="53" t="e">
        <f>VLOOKUP(B23,категория!A$2:B$14,2,FALSE)</f>
        <v>#N/A</v>
      </c>
    </row>
    <row r="24" spans="1:7">
      <c r="A24" s="263">
        <v>3461</v>
      </c>
      <c r="B24" s="264">
        <v>114</v>
      </c>
      <c r="C24" s="264">
        <v>4</v>
      </c>
      <c r="D24" s="264" t="s">
        <v>41</v>
      </c>
      <c r="E24" s="264">
        <v>12</v>
      </c>
      <c r="F24" s="264">
        <v>300</v>
      </c>
      <c r="G24" s="53" t="str">
        <f>VLOOKUP(B24,категория!A$2:B$14,2,FALSE)</f>
        <v>картон от 270</v>
      </c>
    </row>
    <row r="25" spans="1:7">
      <c r="A25" s="263">
        <v>3461</v>
      </c>
      <c r="B25" s="264">
        <v>118</v>
      </c>
      <c r="C25" s="264">
        <v>6</v>
      </c>
      <c r="D25" s="264" t="s">
        <v>38</v>
      </c>
      <c r="E25" s="264">
        <v>625</v>
      </c>
      <c r="F25" s="264">
        <v>80</v>
      </c>
      <c r="G25" s="53" t="str">
        <f>VLOOKUP(B25,категория!A$2:B$14,2,FALSE)</f>
        <v>практика ч/б</v>
      </c>
    </row>
    <row r="26" spans="1:7">
      <c r="A26" s="263">
        <v>3462</v>
      </c>
      <c r="B26" s="264">
        <v>126</v>
      </c>
      <c r="C26" s="264">
        <v>1</v>
      </c>
      <c r="D26" s="264" t="s">
        <v>335</v>
      </c>
      <c r="E26" s="264">
        <v>300</v>
      </c>
      <c r="F26" s="264">
        <v>170</v>
      </c>
      <c r="G26" s="53" t="str">
        <f>VLOOKUP(B26,категория!A$2:B$14,2,FALSE)</f>
        <v>картон до 250</v>
      </c>
    </row>
    <row r="27" spans="1:7">
      <c r="A27" s="263">
        <v>3462</v>
      </c>
      <c r="B27" s="264">
        <v>126</v>
      </c>
      <c r="C27" s="264">
        <v>1</v>
      </c>
      <c r="D27" s="264" t="s">
        <v>335</v>
      </c>
      <c r="E27" s="264">
        <v>300</v>
      </c>
      <c r="F27" s="264">
        <v>170</v>
      </c>
      <c r="G27" s="53" t="str">
        <f>VLOOKUP(B27,категория!A$2:B$14,2,FALSE)</f>
        <v>картон до 250</v>
      </c>
    </row>
    <row r="28" spans="1:7">
      <c r="A28" s="263">
        <v>3466</v>
      </c>
      <c r="B28" s="264">
        <v>126</v>
      </c>
      <c r="C28" s="264">
        <v>1</v>
      </c>
      <c r="D28" s="264" t="s">
        <v>40</v>
      </c>
      <c r="E28" s="264">
        <v>1250</v>
      </c>
      <c r="F28" s="264">
        <v>235</v>
      </c>
      <c r="G28" s="53" t="str">
        <f>VLOOKUP(B28,категория!A$2:B$14,2,FALSE)</f>
        <v>картон до 250</v>
      </c>
    </row>
    <row r="29" spans="1:7">
      <c r="A29" s="263">
        <v>3469</v>
      </c>
      <c r="B29" s="264">
        <v>122</v>
      </c>
      <c r="C29" s="264">
        <v>1</v>
      </c>
      <c r="D29" s="264" t="s">
        <v>39</v>
      </c>
      <c r="E29" s="264">
        <v>50</v>
      </c>
      <c r="F29" s="264">
        <v>210</v>
      </c>
      <c r="G29" s="53" t="e">
        <f>VLOOKUP(B29,категория!A$2:B$14,2,FALSE)</f>
        <v>#N/A</v>
      </c>
    </row>
    <row r="30" spans="1:7">
      <c r="A30" s="263">
        <v>3473</v>
      </c>
      <c r="B30" s="264">
        <v>126</v>
      </c>
      <c r="C30" s="264">
        <v>1</v>
      </c>
      <c r="D30" s="264" t="s">
        <v>35</v>
      </c>
      <c r="E30" s="264">
        <v>2500</v>
      </c>
      <c r="F30" s="264">
        <v>230</v>
      </c>
      <c r="G30" s="53" t="str">
        <f>VLOOKUP(B30,категория!A$2:B$14,2,FALSE)</f>
        <v>картон до 250</v>
      </c>
    </row>
    <row r="31" spans="1:7">
      <c r="A31" s="263">
        <v>3473</v>
      </c>
      <c r="B31" s="264">
        <v>126</v>
      </c>
      <c r="C31" s="264">
        <v>1</v>
      </c>
      <c r="D31" s="264" t="s">
        <v>35</v>
      </c>
      <c r="E31" s="264">
        <v>2500</v>
      </c>
      <c r="F31" s="264">
        <v>230</v>
      </c>
      <c r="G31" s="53" t="str">
        <f>VLOOKUP(B31,категория!A$2:B$14,2,FALSE)</f>
        <v>картон до 250</v>
      </c>
    </row>
    <row r="32" spans="1:7">
      <c r="A32" s="263">
        <v>3474</v>
      </c>
      <c r="B32" s="264">
        <v>126</v>
      </c>
      <c r="C32" s="264">
        <v>1</v>
      </c>
      <c r="D32" s="264" t="s">
        <v>35</v>
      </c>
      <c r="E32" s="264">
        <v>2500</v>
      </c>
      <c r="F32" s="264">
        <v>230</v>
      </c>
      <c r="G32" s="53" t="str">
        <f>VLOOKUP(B32,категория!A$2:B$14,2,FALSE)</f>
        <v>картон до 250</v>
      </c>
    </row>
    <row r="33" spans="1:7">
      <c r="A33" s="263">
        <v>3474</v>
      </c>
      <c r="B33" s="264">
        <v>126</v>
      </c>
      <c r="C33" s="264">
        <v>1</v>
      </c>
      <c r="D33" s="264" t="s">
        <v>35</v>
      </c>
      <c r="E33" s="264">
        <v>2500</v>
      </c>
      <c r="F33" s="264">
        <v>230</v>
      </c>
      <c r="G33" s="53" t="str">
        <f>VLOOKUP(B33,категория!A$2:B$14,2,FALSE)</f>
        <v>картон до 250</v>
      </c>
    </row>
    <row r="34" spans="1:7">
      <c r="A34" s="263">
        <v>3475</v>
      </c>
      <c r="B34" s="264">
        <v>126</v>
      </c>
      <c r="C34" s="264">
        <v>1</v>
      </c>
      <c r="D34" s="264" t="s">
        <v>35</v>
      </c>
      <c r="E34" s="264">
        <v>1000</v>
      </c>
      <c r="F34" s="264">
        <v>250</v>
      </c>
      <c r="G34" s="53" t="str">
        <f>VLOOKUP(B34,категория!A$2:B$14,2,FALSE)</f>
        <v>картон до 250</v>
      </c>
    </row>
    <row r="35" spans="1:7">
      <c r="A35" s="263">
        <v>3475</v>
      </c>
      <c r="B35" s="264">
        <v>126</v>
      </c>
      <c r="C35" s="264">
        <v>1</v>
      </c>
      <c r="D35" s="264" t="s">
        <v>35</v>
      </c>
      <c r="E35" s="264">
        <v>1000</v>
      </c>
      <c r="F35" s="264">
        <v>250</v>
      </c>
      <c r="G35" s="53" t="str">
        <f>VLOOKUP(B35,категория!A$2:B$14,2,FALSE)</f>
        <v>картон до 250</v>
      </c>
    </row>
    <row r="36" spans="1:7">
      <c r="A36" s="263">
        <v>3475</v>
      </c>
      <c r="B36" s="264">
        <v>114</v>
      </c>
      <c r="C36" s="264">
        <v>1</v>
      </c>
      <c r="D36" s="264" t="s">
        <v>52</v>
      </c>
      <c r="E36" s="264">
        <v>63</v>
      </c>
      <c r="F36" s="264">
        <v>200</v>
      </c>
      <c r="G36" s="53" t="str">
        <f>VLOOKUP(B36,категория!A$2:B$14,2,FALSE)</f>
        <v>картон от 270</v>
      </c>
    </row>
    <row r="37" spans="1:7">
      <c r="A37" s="263">
        <v>3476</v>
      </c>
      <c r="B37" s="264">
        <v>126</v>
      </c>
      <c r="C37" s="264">
        <v>1</v>
      </c>
      <c r="D37" s="264" t="s">
        <v>35</v>
      </c>
      <c r="E37" s="264">
        <v>1000</v>
      </c>
      <c r="F37" s="264">
        <v>250</v>
      </c>
      <c r="G37" s="53" t="str">
        <f>VLOOKUP(B37,категория!A$2:B$14,2,FALSE)</f>
        <v>картон до 250</v>
      </c>
    </row>
    <row r="38" spans="1:7">
      <c r="A38" s="263">
        <v>3476</v>
      </c>
      <c r="B38" s="264">
        <v>126</v>
      </c>
      <c r="C38" s="264">
        <v>1</v>
      </c>
      <c r="D38" s="264" t="s">
        <v>35</v>
      </c>
      <c r="E38" s="264">
        <v>1000</v>
      </c>
      <c r="F38" s="264">
        <v>250</v>
      </c>
      <c r="G38" s="53" t="str">
        <f>VLOOKUP(B38,категория!A$2:B$14,2,FALSE)</f>
        <v>картон до 250</v>
      </c>
    </row>
    <row r="39" spans="1:7">
      <c r="A39" s="263">
        <v>3476</v>
      </c>
      <c r="B39" s="264">
        <v>114</v>
      </c>
      <c r="C39" s="264">
        <v>1</v>
      </c>
      <c r="D39" s="264" t="s">
        <v>52</v>
      </c>
      <c r="E39" s="264">
        <v>63</v>
      </c>
      <c r="F39" s="264">
        <v>200</v>
      </c>
      <c r="G39" s="53" t="str">
        <f>VLOOKUP(B39,категория!A$2:B$14,2,FALSE)</f>
        <v>картон от 270</v>
      </c>
    </row>
    <row r="40" spans="1:7">
      <c r="A40" s="263">
        <v>3477</v>
      </c>
      <c r="B40" s="264">
        <v>114</v>
      </c>
      <c r="C40" s="264">
        <v>1</v>
      </c>
      <c r="D40" s="264" t="s">
        <v>35</v>
      </c>
      <c r="E40" s="264">
        <v>3334</v>
      </c>
      <c r="F40" s="264">
        <v>270</v>
      </c>
      <c r="G40" s="53" t="str">
        <f>VLOOKUP(B40,категория!A$2:B$14,2,FALSE)</f>
        <v>картон от 270</v>
      </c>
    </row>
    <row r="41" spans="1:7">
      <c r="A41" s="263">
        <v>3477</v>
      </c>
      <c r="B41" s="264">
        <v>114</v>
      </c>
      <c r="C41" s="264">
        <v>1</v>
      </c>
      <c r="D41" s="264" t="s">
        <v>35</v>
      </c>
      <c r="E41" s="264">
        <v>3334</v>
      </c>
      <c r="F41" s="264">
        <v>270</v>
      </c>
      <c r="G41" s="53" t="str">
        <f>VLOOKUP(B41,категория!A$2:B$14,2,FALSE)</f>
        <v>картон от 270</v>
      </c>
    </row>
    <row r="42" spans="1:7">
      <c r="A42" s="263">
        <v>3478</v>
      </c>
      <c r="B42" s="264">
        <v>112</v>
      </c>
      <c r="C42" s="264">
        <v>1</v>
      </c>
      <c r="D42" s="264" t="s">
        <v>332</v>
      </c>
      <c r="E42" s="264">
        <v>750</v>
      </c>
      <c r="F42" s="264">
        <v>200</v>
      </c>
      <c r="G42" s="53" t="str">
        <f>VLOOKUP(B42,категория!A$2:B$14,2,FALSE)</f>
        <v>мел+офсет</v>
      </c>
    </row>
    <row r="43" spans="1:7">
      <c r="A43" s="263">
        <v>3479</v>
      </c>
      <c r="B43" s="264">
        <v>110</v>
      </c>
      <c r="C43" s="264">
        <v>1</v>
      </c>
      <c r="D43" s="264" t="s">
        <v>48</v>
      </c>
      <c r="E43" s="264">
        <v>1000</v>
      </c>
      <c r="F43" s="264">
        <v>200</v>
      </c>
      <c r="G43" s="53" t="str">
        <f>VLOOKUP(B43,категория!A$2:B$14,2,FALSE)</f>
        <v>мел+офсет</v>
      </c>
    </row>
    <row r="44" spans="1:7">
      <c r="A44" s="263">
        <v>3481</v>
      </c>
      <c r="B44" s="264">
        <v>110</v>
      </c>
      <c r="C44" s="264">
        <v>6</v>
      </c>
      <c r="D44" s="264" t="s">
        <v>38</v>
      </c>
      <c r="E44" s="264">
        <v>1500</v>
      </c>
      <c r="F44" s="264">
        <v>80</v>
      </c>
      <c r="G44" s="53" t="str">
        <f>VLOOKUP(B44,категория!A$2:B$14,2,FALSE)</f>
        <v>мел+офсет</v>
      </c>
    </row>
    <row r="45" spans="1:7">
      <c r="A45" s="263">
        <v>3481</v>
      </c>
      <c r="B45" s="264">
        <v>131</v>
      </c>
      <c r="C45" s="264">
        <v>1</v>
      </c>
      <c r="D45" s="264" t="s">
        <v>307</v>
      </c>
      <c r="E45" s="264">
        <v>28</v>
      </c>
      <c r="F45" s="264">
        <v>923</v>
      </c>
      <c r="G45" s="53" t="e">
        <f>VLOOKUP(B45,категория!A$2:B$14,2,FALSE)</f>
        <v>#N/A</v>
      </c>
    </row>
    <row r="46" spans="1:7">
      <c r="A46" s="263">
        <v>3481</v>
      </c>
      <c r="B46" s="264">
        <v>131</v>
      </c>
      <c r="C46" s="264">
        <v>1</v>
      </c>
      <c r="D46" s="264" t="s">
        <v>50</v>
      </c>
      <c r="E46" s="264">
        <v>17</v>
      </c>
      <c r="F46" s="264">
        <v>260</v>
      </c>
      <c r="G46" s="53" t="e">
        <f>VLOOKUP(B46,категория!A$2:B$14,2,FALSE)</f>
        <v>#N/A</v>
      </c>
    </row>
    <row r="47" spans="1:7">
      <c r="A47" s="263">
        <v>3481</v>
      </c>
      <c r="B47" s="264">
        <v>110</v>
      </c>
      <c r="C47" s="264">
        <v>1</v>
      </c>
      <c r="D47" s="264" t="s">
        <v>38</v>
      </c>
      <c r="E47" s="264">
        <v>125</v>
      </c>
      <c r="F47" s="264">
        <v>170</v>
      </c>
      <c r="G47" s="53" t="str">
        <f>VLOOKUP(B47,категория!A$2:B$14,2,FALSE)</f>
        <v>мел+офсет</v>
      </c>
    </row>
    <row r="48" spans="1:7">
      <c r="A48" s="263">
        <v>3481</v>
      </c>
      <c r="B48" s="264">
        <v>131</v>
      </c>
      <c r="C48" s="264">
        <v>1</v>
      </c>
      <c r="D48" s="264" t="s">
        <v>38</v>
      </c>
      <c r="E48" s="264">
        <v>42</v>
      </c>
      <c r="F48" s="264">
        <v>170</v>
      </c>
      <c r="G48" s="53" t="e">
        <f>VLOOKUP(B48,категория!A$2:B$14,2,FALSE)</f>
        <v>#N/A</v>
      </c>
    </row>
    <row r="49" spans="1:7">
      <c r="A49" s="263">
        <v>3481</v>
      </c>
      <c r="B49" s="264">
        <v>110</v>
      </c>
      <c r="C49" s="264">
        <v>3</v>
      </c>
      <c r="D49" s="264" t="s">
        <v>38</v>
      </c>
      <c r="E49" s="264">
        <v>750</v>
      </c>
      <c r="F49" s="264">
        <v>80</v>
      </c>
      <c r="G49" s="53" t="str">
        <f>VLOOKUP(B49,категория!A$2:B$14,2,FALSE)</f>
        <v>мел+офсет</v>
      </c>
    </row>
    <row r="50" spans="1:7">
      <c r="A50" s="263">
        <v>3482</v>
      </c>
      <c r="B50" s="264">
        <v>126</v>
      </c>
      <c r="C50" s="264">
        <v>1</v>
      </c>
      <c r="D50" s="264" t="s">
        <v>35</v>
      </c>
      <c r="E50" s="264">
        <v>2500</v>
      </c>
      <c r="F50" s="264">
        <v>215</v>
      </c>
      <c r="G50" s="53" t="str">
        <f>VLOOKUP(B50,категория!A$2:B$14,2,FALSE)</f>
        <v>картон до 250</v>
      </c>
    </row>
    <row r="51" spans="1:7">
      <c r="A51" s="263">
        <v>3482</v>
      </c>
      <c r="B51" s="264">
        <v>132</v>
      </c>
      <c r="C51" s="264">
        <v>1</v>
      </c>
      <c r="D51" s="264" t="s">
        <v>35</v>
      </c>
      <c r="E51" s="264">
        <v>2500</v>
      </c>
      <c r="F51" s="264">
        <v>0</v>
      </c>
      <c r="G51" s="53" t="str">
        <f>VLOOKUP(B51,категория!A$2:B$14,2,FALSE)</f>
        <v xml:space="preserve">лак </v>
      </c>
    </row>
    <row r="52" spans="1:7">
      <c r="A52" s="263">
        <v>3490</v>
      </c>
      <c r="B52" s="264">
        <v>112</v>
      </c>
      <c r="C52" s="264">
        <v>1</v>
      </c>
      <c r="D52" s="264" t="s">
        <v>35</v>
      </c>
      <c r="E52" s="264">
        <v>2500</v>
      </c>
      <c r="F52" s="264">
        <v>210</v>
      </c>
      <c r="G52" s="53" t="str">
        <f>VLOOKUP(B52,категория!A$2:B$14,2,FALSE)</f>
        <v>мел+офсет</v>
      </c>
    </row>
    <row r="53" spans="1:7">
      <c r="A53" s="263">
        <v>3490</v>
      </c>
      <c r="B53" s="264">
        <v>132</v>
      </c>
      <c r="C53" s="264">
        <v>1</v>
      </c>
      <c r="D53" s="264" t="s">
        <v>35</v>
      </c>
      <c r="E53" s="264">
        <v>2500</v>
      </c>
      <c r="F53" s="264"/>
      <c r="G53" s="53" t="str">
        <f>VLOOKUP(B53,категория!A$2:B$14,2,FALSE)</f>
        <v xml:space="preserve">лак </v>
      </c>
    </row>
    <row r="54" spans="1:7" ht="15.75" customHeight="1">
      <c r="A54" s="263">
        <v>3491</v>
      </c>
      <c r="B54" s="264">
        <v>114</v>
      </c>
      <c r="C54" s="264">
        <v>1</v>
      </c>
      <c r="D54" s="264" t="s">
        <v>40</v>
      </c>
      <c r="E54" s="264">
        <v>2500</v>
      </c>
      <c r="F54" s="264">
        <v>270</v>
      </c>
      <c r="G54" s="53" t="str">
        <f>VLOOKUP(B54,категория!A$2:B$14,2,FALSE)</f>
        <v>картон от 270</v>
      </c>
    </row>
    <row r="55" spans="1:7">
      <c r="A55" s="263">
        <v>3491</v>
      </c>
      <c r="B55" s="264">
        <v>132</v>
      </c>
      <c r="C55" s="264">
        <v>1</v>
      </c>
      <c r="D55" s="264" t="s">
        <v>40</v>
      </c>
      <c r="E55" s="264">
        <v>2500</v>
      </c>
      <c r="F55" s="264">
        <v>0</v>
      </c>
      <c r="G55" s="53" t="str">
        <f>VLOOKUP(B55,категория!A$2:B$14,2,FALSE)</f>
        <v xml:space="preserve">лак </v>
      </c>
    </row>
    <row r="56" spans="1:7">
      <c r="A56" s="263">
        <v>3492</v>
      </c>
      <c r="B56" s="264">
        <v>127</v>
      </c>
      <c r="C56" s="264">
        <v>1</v>
      </c>
      <c r="D56" s="264" t="s">
        <v>35</v>
      </c>
      <c r="E56" s="264">
        <v>8459</v>
      </c>
      <c r="F56" s="264">
        <v>215</v>
      </c>
      <c r="G56" s="53" t="str">
        <f>VLOOKUP(B56,категория!A$2:B$14,2,FALSE)</f>
        <v>картон до 250</v>
      </c>
    </row>
    <row r="57" spans="1:7">
      <c r="A57" s="263">
        <v>3492</v>
      </c>
      <c r="B57" s="264">
        <v>132</v>
      </c>
      <c r="C57" s="264">
        <v>1</v>
      </c>
      <c r="D57" s="264" t="s">
        <v>35</v>
      </c>
      <c r="E57" s="264">
        <v>8459</v>
      </c>
      <c r="F57" s="264"/>
      <c r="G57" s="53" t="str">
        <f>VLOOKUP(B57,категория!A$2:B$14,2,FALSE)</f>
        <v xml:space="preserve">лак </v>
      </c>
    </row>
    <row r="58" spans="1:7">
      <c r="A58" s="263">
        <v>3493</v>
      </c>
      <c r="B58" s="264">
        <v>110</v>
      </c>
      <c r="C58" s="264">
        <v>1</v>
      </c>
      <c r="D58" s="264" t="s">
        <v>41</v>
      </c>
      <c r="E58" s="264">
        <v>1000</v>
      </c>
      <c r="F58" s="264">
        <v>170</v>
      </c>
      <c r="G58" s="53" t="str">
        <f>VLOOKUP(B58,категория!A$2:B$14,2,FALSE)</f>
        <v>мел+офсет</v>
      </c>
    </row>
    <row r="59" spans="1:7">
      <c r="A59" s="263">
        <v>3499</v>
      </c>
      <c r="B59" s="264">
        <v>126</v>
      </c>
      <c r="C59" s="264">
        <v>1</v>
      </c>
      <c r="D59" s="264" t="s">
        <v>35</v>
      </c>
      <c r="E59" s="264">
        <v>5000</v>
      </c>
      <c r="F59" s="264">
        <v>210</v>
      </c>
      <c r="G59" s="53" t="str">
        <f>VLOOKUP(B59,категория!A$2:B$14,2,FALSE)</f>
        <v>картон до 250</v>
      </c>
    </row>
    <row r="60" spans="1:7">
      <c r="A60" s="263">
        <v>3500</v>
      </c>
      <c r="B60" s="264">
        <v>114</v>
      </c>
      <c r="C60" s="264">
        <v>1</v>
      </c>
      <c r="D60" s="264" t="s">
        <v>40</v>
      </c>
      <c r="E60" s="264">
        <v>3000</v>
      </c>
      <c r="F60" s="264">
        <v>325</v>
      </c>
      <c r="G60" s="53" t="str">
        <f>VLOOKUP(B60,категория!A$2:B$14,2,FALSE)</f>
        <v>картон от 270</v>
      </c>
    </row>
    <row r="61" spans="1:7">
      <c r="A61" s="263">
        <v>3500</v>
      </c>
      <c r="B61" s="264">
        <v>131</v>
      </c>
      <c r="C61" s="264">
        <v>1</v>
      </c>
      <c r="D61" s="264" t="s">
        <v>206</v>
      </c>
      <c r="E61" s="264">
        <v>3000</v>
      </c>
      <c r="F61" s="264">
        <v>450</v>
      </c>
      <c r="G61" s="53" t="e">
        <f>VLOOKUP(B61,категория!A$2:B$14,2,FALSE)</f>
        <v>#N/A</v>
      </c>
    </row>
    <row r="62" spans="1:7">
      <c r="A62" s="263">
        <v>3501</v>
      </c>
      <c r="B62" s="264">
        <v>114</v>
      </c>
      <c r="C62" s="264">
        <v>1</v>
      </c>
      <c r="D62" s="264" t="s">
        <v>40</v>
      </c>
      <c r="E62" s="264">
        <v>1500</v>
      </c>
      <c r="F62" s="264">
        <v>325</v>
      </c>
      <c r="G62" s="53" t="str">
        <f>VLOOKUP(B62,категория!A$2:B$14,2,FALSE)</f>
        <v>картон от 270</v>
      </c>
    </row>
    <row r="63" spans="1:7">
      <c r="A63" s="263">
        <v>3501</v>
      </c>
      <c r="B63" s="264">
        <v>131</v>
      </c>
      <c r="C63" s="264">
        <v>1</v>
      </c>
      <c r="D63" s="264" t="s">
        <v>206</v>
      </c>
      <c r="E63" s="264">
        <v>1500</v>
      </c>
      <c r="F63" s="264">
        <v>450</v>
      </c>
      <c r="G63" s="53" t="e">
        <f>VLOOKUP(B63,категория!A$2:B$14,2,FALSE)</f>
        <v>#N/A</v>
      </c>
    </row>
    <row r="64" spans="1:7">
      <c r="A64" s="263">
        <v>3506</v>
      </c>
      <c r="B64" s="264">
        <v>110</v>
      </c>
      <c r="C64" s="264">
        <v>1</v>
      </c>
      <c r="D64" s="264" t="s">
        <v>35</v>
      </c>
      <c r="E64" s="264">
        <v>3750</v>
      </c>
      <c r="F64" s="264">
        <v>210</v>
      </c>
      <c r="G64" s="53" t="str">
        <f>VLOOKUP(B64,категория!A$2:B$14,2,FALSE)</f>
        <v>мел+офсет</v>
      </c>
    </row>
    <row r="65" spans="1:7">
      <c r="A65" s="263">
        <v>3506</v>
      </c>
      <c r="B65" s="264">
        <v>132</v>
      </c>
      <c r="C65" s="264">
        <v>1</v>
      </c>
      <c r="D65" s="264" t="s">
        <v>35</v>
      </c>
      <c r="E65" s="264">
        <v>3750</v>
      </c>
      <c r="F65" s="264"/>
      <c r="G65" s="53" t="str">
        <f>VLOOKUP(B65,категория!A$2:B$14,2,FALSE)</f>
        <v xml:space="preserve">лак </v>
      </c>
    </row>
    <row r="66" spans="1:7">
      <c r="A66" s="263">
        <v>3507</v>
      </c>
      <c r="B66" s="264">
        <v>114</v>
      </c>
      <c r="C66" s="264">
        <v>1</v>
      </c>
      <c r="D66" s="264" t="s">
        <v>35</v>
      </c>
      <c r="E66" s="264">
        <v>500</v>
      </c>
      <c r="F66" s="264">
        <v>250</v>
      </c>
      <c r="G66" s="53" t="str">
        <f>VLOOKUP(B66,категория!A$2:B$14,2,FALSE)</f>
        <v>картон от 270</v>
      </c>
    </row>
    <row r="67" spans="1:7">
      <c r="A67" s="263">
        <v>3511</v>
      </c>
      <c r="B67" s="264">
        <v>112</v>
      </c>
      <c r="C67" s="264">
        <v>2</v>
      </c>
      <c r="D67" s="264" t="s">
        <v>41</v>
      </c>
      <c r="E67" s="264">
        <v>500</v>
      </c>
      <c r="F67" s="264">
        <v>115</v>
      </c>
      <c r="G67" s="53" t="str">
        <f>VLOOKUP(B67,категория!A$2:B$14,2,FALSE)</f>
        <v>мел+офсет</v>
      </c>
    </row>
    <row r="68" spans="1:7">
      <c r="A68" s="263">
        <v>3512</v>
      </c>
      <c r="B68" s="264">
        <v>122</v>
      </c>
      <c r="C68" s="264">
        <v>1</v>
      </c>
      <c r="D68" s="264" t="s">
        <v>41</v>
      </c>
      <c r="E68" s="264">
        <v>10</v>
      </c>
      <c r="F68" s="264">
        <v>300</v>
      </c>
      <c r="G68" s="53" t="e">
        <f>VLOOKUP(B68,категория!A$2:B$14,2,FALSE)</f>
        <v>#N/A</v>
      </c>
    </row>
    <row r="69" spans="1:7">
      <c r="A69" s="263">
        <v>3513</v>
      </c>
      <c r="B69" s="264">
        <v>112</v>
      </c>
      <c r="C69" s="264">
        <v>1</v>
      </c>
      <c r="D69" s="264" t="s">
        <v>53</v>
      </c>
      <c r="E69" s="264">
        <v>2000</v>
      </c>
      <c r="F69" s="264">
        <v>300</v>
      </c>
      <c r="G69" s="53" t="str">
        <f>VLOOKUP(B69,категория!A$2:B$14,2,FALSE)</f>
        <v>мел+офсет</v>
      </c>
    </row>
    <row r="70" spans="1:7">
      <c r="A70" s="263">
        <v>3513</v>
      </c>
      <c r="B70" s="264">
        <v>127</v>
      </c>
      <c r="C70" s="264">
        <v>1</v>
      </c>
      <c r="D70" s="264" t="s">
        <v>40</v>
      </c>
      <c r="E70" s="264">
        <v>250</v>
      </c>
      <c r="F70" s="264">
        <v>235</v>
      </c>
      <c r="G70" s="53" t="str">
        <f>VLOOKUP(B70,категория!A$2:B$14,2,FALSE)</f>
        <v>картон до 250</v>
      </c>
    </row>
    <row r="71" spans="1:7">
      <c r="A71" s="263">
        <v>3515</v>
      </c>
      <c r="B71" s="264">
        <v>118</v>
      </c>
      <c r="C71" s="264">
        <v>3</v>
      </c>
      <c r="D71" s="264" t="s">
        <v>48</v>
      </c>
      <c r="E71" s="264">
        <v>4800</v>
      </c>
      <c r="F71" s="264">
        <v>90</v>
      </c>
      <c r="G71" s="53" t="str">
        <f>VLOOKUP(B71,категория!A$2:B$14,2,FALSE)</f>
        <v>практика ч/б</v>
      </c>
    </row>
    <row r="72" spans="1:7">
      <c r="A72" s="263">
        <v>3515</v>
      </c>
      <c r="B72" s="264">
        <v>112</v>
      </c>
      <c r="C72" s="264">
        <v>1</v>
      </c>
      <c r="D72" s="264" t="s">
        <v>337</v>
      </c>
      <c r="E72" s="264">
        <v>800</v>
      </c>
      <c r="F72" s="264">
        <v>45</v>
      </c>
      <c r="G72" s="53" t="str">
        <f>VLOOKUP(B72,категория!A$2:B$14,2,FALSE)</f>
        <v>мел+офсет</v>
      </c>
    </row>
    <row r="73" spans="1:7">
      <c r="A73" s="263">
        <v>3515</v>
      </c>
      <c r="B73" s="264">
        <v>114</v>
      </c>
      <c r="C73" s="264">
        <v>1</v>
      </c>
      <c r="D73" s="264" t="s">
        <v>35</v>
      </c>
      <c r="E73" s="264">
        <v>800</v>
      </c>
      <c r="F73" s="264">
        <v>300</v>
      </c>
      <c r="G73" s="53" t="str">
        <f>VLOOKUP(B73,категория!A$2:B$14,2,FALSE)</f>
        <v>картон от 270</v>
      </c>
    </row>
    <row r="74" spans="1:7">
      <c r="A74" s="263">
        <v>3517</v>
      </c>
      <c r="B74" s="264">
        <v>126</v>
      </c>
      <c r="C74" s="264">
        <v>1</v>
      </c>
      <c r="D74" s="264" t="s">
        <v>35</v>
      </c>
      <c r="E74" s="264">
        <v>3334</v>
      </c>
      <c r="F74" s="264">
        <v>250</v>
      </c>
      <c r="G74" s="53" t="str">
        <f>VLOOKUP(B74,категория!A$2:B$14,2,FALSE)</f>
        <v>картон до 250</v>
      </c>
    </row>
    <row r="75" spans="1:7">
      <c r="A75" s="263">
        <v>3517</v>
      </c>
      <c r="B75" s="264">
        <v>110</v>
      </c>
      <c r="C75" s="264">
        <v>1</v>
      </c>
      <c r="D75" s="264" t="s">
        <v>52</v>
      </c>
      <c r="E75" s="264">
        <v>3334</v>
      </c>
      <c r="F75" s="264">
        <v>200</v>
      </c>
      <c r="G75" s="53" t="str">
        <f>VLOOKUP(B75,категория!A$2:B$14,2,FALSE)</f>
        <v>мел+офсет</v>
      </c>
    </row>
    <row r="76" spans="1:7">
      <c r="A76" s="263">
        <v>3518</v>
      </c>
      <c r="B76" s="264">
        <v>126</v>
      </c>
      <c r="C76" s="264">
        <v>1</v>
      </c>
      <c r="D76" s="264" t="s">
        <v>35</v>
      </c>
      <c r="E76" s="264">
        <v>6667</v>
      </c>
      <c r="F76" s="264">
        <v>250</v>
      </c>
      <c r="G76" s="53" t="str">
        <f>VLOOKUP(B76,категория!A$2:B$14,2,FALSE)</f>
        <v>картон до 250</v>
      </c>
    </row>
    <row r="77" spans="1:7">
      <c r="A77" s="263">
        <v>3518</v>
      </c>
      <c r="B77" s="264">
        <v>110</v>
      </c>
      <c r="C77" s="264">
        <v>1</v>
      </c>
      <c r="D77" s="264" t="s">
        <v>52</v>
      </c>
      <c r="E77" s="264">
        <v>6667</v>
      </c>
      <c r="F77" s="264">
        <v>200</v>
      </c>
      <c r="G77" s="53" t="str">
        <f>VLOOKUP(B77,категория!A$2:B$14,2,FALSE)</f>
        <v>мел+офсет</v>
      </c>
    </row>
    <row r="78" spans="1:7">
      <c r="A78" s="263">
        <v>3519</v>
      </c>
      <c r="B78" s="264">
        <v>126</v>
      </c>
      <c r="C78" s="264">
        <v>1</v>
      </c>
      <c r="D78" s="264" t="s">
        <v>35</v>
      </c>
      <c r="E78" s="264">
        <v>1667</v>
      </c>
      <c r="F78" s="264">
        <v>250</v>
      </c>
      <c r="G78" s="53" t="str">
        <f>VLOOKUP(B78,категория!A$2:B$14,2,FALSE)</f>
        <v>картон до 250</v>
      </c>
    </row>
    <row r="79" spans="1:7">
      <c r="A79" s="263">
        <v>3520</v>
      </c>
      <c r="B79" s="264">
        <v>110</v>
      </c>
      <c r="C79" s="264">
        <v>1</v>
      </c>
      <c r="D79" s="264" t="s">
        <v>41</v>
      </c>
      <c r="E79" s="264">
        <v>625</v>
      </c>
      <c r="F79" s="264">
        <v>300</v>
      </c>
      <c r="G79" s="53" t="str">
        <f>VLOOKUP(B79,категория!A$2:B$14,2,FALSE)</f>
        <v>мел+офсет</v>
      </c>
    </row>
    <row r="80" spans="1:7">
      <c r="A80" s="263">
        <v>3521</v>
      </c>
      <c r="B80" s="264">
        <v>114</v>
      </c>
      <c r="C80" s="264">
        <v>1</v>
      </c>
      <c r="D80" s="264" t="s">
        <v>35</v>
      </c>
      <c r="E80" s="264">
        <v>26667</v>
      </c>
      <c r="F80" s="264">
        <v>285</v>
      </c>
      <c r="G80" s="53" t="str">
        <f>VLOOKUP(B80,категория!A$2:B$14,2,FALSE)</f>
        <v>картон от 270</v>
      </c>
    </row>
    <row r="81" spans="1:7">
      <c r="A81" s="263">
        <v>3522</v>
      </c>
      <c r="B81" s="264">
        <v>122</v>
      </c>
      <c r="C81" s="264">
        <v>1</v>
      </c>
      <c r="D81" s="264" t="s">
        <v>41</v>
      </c>
      <c r="E81" s="264">
        <v>100</v>
      </c>
      <c r="F81" s="264">
        <v>300</v>
      </c>
      <c r="G81" s="53" t="e">
        <f>VLOOKUP(B81,категория!A$2:B$14,2,FALSE)</f>
        <v>#N/A</v>
      </c>
    </row>
    <row r="82" spans="1:7">
      <c r="A82" s="263">
        <v>3524</v>
      </c>
      <c r="B82" s="264">
        <v>122</v>
      </c>
      <c r="C82" s="264">
        <v>1</v>
      </c>
      <c r="D82" s="264" t="s">
        <v>39</v>
      </c>
      <c r="E82" s="264">
        <v>15</v>
      </c>
      <c r="F82" s="264">
        <v>210</v>
      </c>
      <c r="G82" s="53" t="e">
        <f>VLOOKUP(B82,категория!A$2:B$14,2,FALSE)</f>
        <v>#N/A</v>
      </c>
    </row>
    <row r="83" spans="1:7">
      <c r="A83" s="263">
        <v>3526</v>
      </c>
      <c r="B83" s="264">
        <v>122</v>
      </c>
      <c r="C83" s="264">
        <v>1</v>
      </c>
      <c r="D83" s="264" t="s">
        <v>41</v>
      </c>
      <c r="E83" s="264">
        <v>24</v>
      </c>
      <c r="F83" s="264">
        <v>300</v>
      </c>
      <c r="G83" s="53" t="e">
        <f>VLOOKUP(B83,категория!A$2:B$14,2,FALSE)</f>
        <v>#N/A</v>
      </c>
    </row>
    <row r="84" spans="1:7">
      <c r="A84" s="263">
        <v>3528</v>
      </c>
      <c r="B84" s="264">
        <v>114</v>
      </c>
      <c r="C84" s="264">
        <v>1</v>
      </c>
      <c r="D84" s="264" t="s">
        <v>35</v>
      </c>
      <c r="E84" s="264">
        <v>500</v>
      </c>
      <c r="F84" s="264">
        <v>300</v>
      </c>
      <c r="G84" s="53" t="str">
        <f>VLOOKUP(B84,категория!A$2:B$14,2,FALSE)</f>
        <v>картон от 270</v>
      </c>
    </row>
    <row r="85" spans="1:7">
      <c r="A85" s="263">
        <v>3530</v>
      </c>
      <c r="B85" s="264">
        <v>126</v>
      </c>
      <c r="C85" s="264">
        <v>1</v>
      </c>
      <c r="D85" s="264" t="s">
        <v>35</v>
      </c>
      <c r="E85" s="264">
        <v>10000</v>
      </c>
      <c r="F85" s="264">
        <v>250</v>
      </c>
      <c r="G85" s="53" t="str">
        <f>VLOOKUP(B85,категория!A$2:B$14,2,FALSE)</f>
        <v>картон до 250</v>
      </c>
    </row>
    <row r="86" spans="1:7">
      <c r="A86" s="263">
        <v>3533</v>
      </c>
      <c r="B86" s="264">
        <v>126</v>
      </c>
      <c r="C86" s="264">
        <v>1</v>
      </c>
      <c r="D86" s="264" t="s">
        <v>35</v>
      </c>
      <c r="E86" s="264">
        <v>1000</v>
      </c>
      <c r="F86" s="264">
        <v>230</v>
      </c>
      <c r="G86" s="53" t="str">
        <f>VLOOKUP(B86,категория!A$2:B$14,2,FALSE)</f>
        <v>картон до 250</v>
      </c>
    </row>
    <row r="87" spans="1:7">
      <c r="A87" s="263">
        <v>3533</v>
      </c>
      <c r="B87" s="264">
        <v>126</v>
      </c>
      <c r="C87" s="264">
        <v>1</v>
      </c>
      <c r="D87" s="264" t="s">
        <v>35</v>
      </c>
      <c r="E87" s="264">
        <v>1000</v>
      </c>
      <c r="F87" s="264">
        <v>230</v>
      </c>
      <c r="G87" s="53" t="str">
        <f>VLOOKUP(B87,категория!A$2:B$14,2,FALSE)</f>
        <v>картон до 250</v>
      </c>
    </row>
    <row r="88" spans="1:7">
      <c r="A88" s="263">
        <v>3535</v>
      </c>
      <c r="B88" s="264">
        <v>110</v>
      </c>
      <c r="C88" s="264">
        <v>2</v>
      </c>
      <c r="D88" s="264" t="s">
        <v>41</v>
      </c>
      <c r="E88" s="264">
        <v>125</v>
      </c>
      <c r="F88" s="264">
        <v>350</v>
      </c>
      <c r="G88" s="53" t="str">
        <f>VLOOKUP(B88,категория!A$2:B$14,2,FALSE)</f>
        <v>мел+офсет</v>
      </c>
    </row>
    <row r="89" spans="1:7">
      <c r="A89" s="263">
        <v>3536</v>
      </c>
      <c r="B89" s="264">
        <v>127</v>
      </c>
      <c r="C89" s="264">
        <v>1</v>
      </c>
      <c r="D89" s="264" t="s">
        <v>336</v>
      </c>
      <c r="E89" s="264">
        <v>8334</v>
      </c>
      <c r="F89" s="264">
        <v>250</v>
      </c>
      <c r="G89" s="53" t="str">
        <f>VLOOKUP(B89,категория!A$2:B$14,2,FALSE)</f>
        <v>картон до 250</v>
      </c>
    </row>
    <row r="90" spans="1:7">
      <c r="A90" s="263">
        <v>3537</v>
      </c>
      <c r="B90" s="264">
        <v>119</v>
      </c>
      <c r="C90" s="264">
        <v>1</v>
      </c>
      <c r="D90" s="264" t="s">
        <v>285</v>
      </c>
      <c r="E90" s="264">
        <v>16667</v>
      </c>
      <c r="F90" s="264">
        <v>60</v>
      </c>
      <c r="G90" s="53" t="str">
        <f>VLOOKUP(B90,категория!A$2:B$14,2,FALSE)</f>
        <v>практика ч/б</v>
      </c>
    </row>
    <row r="91" spans="1:7">
      <c r="A91" s="263">
        <v>3539</v>
      </c>
      <c r="B91" s="264">
        <v>116</v>
      </c>
      <c r="C91" s="264">
        <v>6</v>
      </c>
      <c r="D91" s="264" t="s">
        <v>38</v>
      </c>
      <c r="E91" s="264">
        <v>1875</v>
      </c>
      <c r="F91" s="264">
        <v>90</v>
      </c>
      <c r="G91" s="53" t="e">
        <f>VLOOKUP(B91,категория!A$2:B$14,2,FALSE)</f>
        <v>#N/A</v>
      </c>
    </row>
    <row r="92" spans="1:7">
      <c r="A92" s="263">
        <v>3539</v>
      </c>
      <c r="B92" s="264">
        <v>110</v>
      </c>
      <c r="C92" s="264">
        <v>1</v>
      </c>
      <c r="D92" s="264" t="s">
        <v>50</v>
      </c>
      <c r="E92" s="264">
        <v>8</v>
      </c>
      <c r="F92" s="264">
        <v>170</v>
      </c>
      <c r="G92" s="53" t="str">
        <f>VLOOKUP(B92,категория!A$2:B$14,2,FALSE)</f>
        <v>мел+офсет</v>
      </c>
    </row>
    <row r="93" spans="1:7">
      <c r="A93" s="263">
        <v>3539</v>
      </c>
      <c r="B93" s="264">
        <v>112</v>
      </c>
      <c r="C93" s="264">
        <v>1</v>
      </c>
      <c r="D93" s="264" t="s">
        <v>206</v>
      </c>
      <c r="E93" s="264">
        <v>30</v>
      </c>
      <c r="F93" s="264">
        <v>230</v>
      </c>
      <c r="G93" s="53" t="str">
        <f>VLOOKUP(B93,категория!A$2:B$14,2,FALSE)</f>
        <v>мел+офсет</v>
      </c>
    </row>
    <row r="94" spans="1:7">
      <c r="A94" s="263">
        <v>3539</v>
      </c>
      <c r="B94" s="264">
        <v>116</v>
      </c>
      <c r="C94" s="264">
        <v>2</v>
      </c>
      <c r="D94" s="264" t="s">
        <v>38</v>
      </c>
      <c r="E94" s="264">
        <v>75</v>
      </c>
      <c r="F94" s="264">
        <v>150</v>
      </c>
      <c r="G94" s="53" t="e">
        <f>VLOOKUP(B94,категория!A$2:B$14,2,FALSE)</f>
        <v>#N/A</v>
      </c>
    </row>
    <row r="95" spans="1:7">
      <c r="A95" s="263">
        <v>3539</v>
      </c>
      <c r="B95" s="264">
        <v>112</v>
      </c>
      <c r="C95" s="264">
        <v>3</v>
      </c>
      <c r="D95" s="264" t="s">
        <v>38</v>
      </c>
      <c r="E95" s="264">
        <v>150</v>
      </c>
      <c r="F95" s="264">
        <v>100</v>
      </c>
      <c r="G95" s="53" t="str">
        <f>VLOOKUP(B95,категория!A$2:B$14,2,FALSE)</f>
        <v>мел+офсет</v>
      </c>
    </row>
    <row r="96" spans="1:7">
      <c r="A96" s="263">
        <v>3539</v>
      </c>
      <c r="B96" s="264">
        <v>118</v>
      </c>
      <c r="C96" s="264">
        <v>1</v>
      </c>
      <c r="D96" s="264" t="s">
        <v>38</v>
      </c>
      <c r="E96" s="264">
        <v>38</v>
      </c>
      <c r="F96" s="264">
        <v>150</v>
      </c>
      <c r="G96" s="53" t="str">
        <f>VLOOKUP(B96,категория!A$2:B$14,2,FALSE)</f>
        <v>практика ч/б</v>
      </c>
    </row>
    <row r="97" spans="1:7">
      <c r="A97" s="263">
        <v>3541</v>
      </c>
      <c r="B97" s="264">
        <v>118</v>
      </c>
      <c r="C97" s="264">
        <v>6</v>
      </c>
      <c r="D97" s="264" t="s">
        <v>38</v>
      </c>
      <c r="E97" s="264">
        <v>3750</v>
      </c>
      <c r="F97" s="264">
        <v>80</v>
      </c>
      <c r="G97" s="53" t="str">
        <f>VLOOKUP(B97,категория!A$2:B$14,2,FALSE)</f>
        <v>практика ч/б</v>
      </c>
    </row>
    <row r="98" spans="1:7">
      <c r="A98" s="263">
        <v>3541</v>
      </c>
      <c r="B98" s="264">
        <v>110</v>
      </c>
      <c r="C98" s="264">
        <v>1</v>
      </c>
      <c r="D98" s="264" t="s">
        <v>41</v>
      </c>
      <c r="E98" s="264">
        <v>250</v>
      </c>
      <c r="F98" s="264">
        <v>350</v>
      </c>
      <c r="G98" s="53" t="str">
        <f>VLOOKUP(B98,категория!A$2:B$14,2,FALSE)</f>
        <v>мел+офсет</v>
      </c>
    </row>
    <row r="99" spans="1:7">
      <c r="A99" s="263">
        <v>3541</v>
      </c>
      <c r="B99" s="264">
        <v>131</v>
      </c>
      <c r="C99" s="264">
        <v>1</v>
      </c>
      <c r="D99" s="264" t="s">
        <v>41</v>
      </c>
      <c r="E99" s="264">
        <v>125</v>
      </c>
      <c r="F99" s="264">
        <v>115</v>
      </c>
      <c r="G99" s="53" t="e">
        <f>VLOOKUP(B99,категория!A$2:B$14,2,FALSE)</f>
        <v>#N/A</v>
      </c>
    </row>
    <row r="100" spans="1:7">
      <c r="A100" s="263">
        <v>3543</v>
      </c>
      <c r="B100" s="264">
        <v>122</v>
      </c>
      <c r="C100" s="264">
        <v>1</v>
      </c>
      <c r="D100" s="264" t="s">
        <v>48</v>
      </c>
      <c r="E100" s="264">
        <v>30</v>
      </c>
      <c r="F100" s="264">
        <v>300</v>
      </c>
      <c r="G100" s="53" t="e">
        <f>VLOOKUP(B100,категория!A$2:B$14,2,FALSE)</f>
        <v>#N/A</v>
      </c>
    </row>
    <row r="101" spans="1:7">
      <c r="A101" s="263">
        <v>3544</v>
      </c>
      <c r="B101" s="264">
        <v>110</v>
      </c>
      <c r="C101" s="264">
        <v>3</v>
      </c>
      <c r="D101" s="264" t="s">
        <v>48</v>
      </c>
      <c r="E101" s="264">
        <v>3000</v>
      </c>
      <c r="F101" s="264">
        <v>300</v>
      </c>
      <c r="G101" s="53" t="str">
        <f>VLOOKUP(B101,категория!A$2:B$14,2,FALSE)</f>
        <v>мел+офсет</v>
      </c>
    </row>
    <row r="102" spans="1:7">
      <c r="A102" s="263">
        <v>3544</v>
      </c>
      <c r="B102" s="264">
        <v>131</v>
      </c>
      <c r="C102" s="264">
        <v>1</v>
      </c>
      <c r="D102" s="264" t="s">
        <v>35</v>
      </c>
      <c r="E102" s="264">
        <v>84</v>
      </c>
      <c r="F102" s="264">
        <v>300</v>
      </c>
      <c r="G102" s="53" t="e">
        <f>VLOOKUP(B102,категория!A$2:B$14,2,FALSE)</f>
        <v>#N/A</v>
      </c>
    </row>
    <row r="103" spans="1:7">
      <c r="A103" s="263">
        <v>3544</v>
      </c>
      <c r="B103" s="264">
        <v>131</v>
      </c>
      <c r="C103" s="264">
        <v>1</v>
      </c>
      <c r="D103" s="264" t="s">
        <v>50</v>
      </c>
      <c r="E103" s="264">
        <v>5</v>
      </c>
      <c r="F103" s="264">
        <v>210</v>
      </c>
      <c r="G103" s="53" t="e">
        <f>VLOOKUP(B103,категория!A$2:B$14,2,FALSE)</f>
        <v>#N/A</v>
      </c>
    </row>
    <row r="104" spans="1:7">
      <c r="A104" s="263">
        <v>3545</v>
      </c>
      <c r="B104" s="264">
        <v>126</v>
      </c>
      <c r="C104" s="264">
        <v>1</v>
      </c>
      <c r="D104" s="264" t="s">
        <v>40</v>
      </c>
      <c r="E104" s="264">
        <v>1750</v>
      </c>
      <c r="F104" s="264">
        <v>235</v>
      </c>
      <c r="G104" s="53" t="str">
        <f>VLOOKUP(B104,категория!A$2:B$14,2,FALSE)</f>
        <v>картон до 250</v>
      </c>
    </row>
    <row r="105" spans="1:7">
      <c r="A105" s="263">
        <v>3545</v>
      </c>
      <c r="B105" s="264">
        <v>132</v>
      </c>
      <c r="C105" s="264">
        <v>1</v>
      </c>
      <c r="D105" s="264" t="s">
        <v>40</v>
      </c>
      <c r="E105" s="264">
        <v>1750</v>
      </c>
      <c r="F105" s="264">
        <v>0</v>
      </c>
      <c r="G105" s="53" t="str">
        <f>VLOOKUP(B105,категория!A$2:B$14,2,FALSE)</f>
        <v xml:space="preserve">лак </v>
      </c>
    </row>
    <row r="106" spans="1:7">
      <c r="A106" s="263">
        <v>1</v>
      </c>
      <c r="B106" s="264">
        <v>126</v>
      </c>
      <c r="C106" s="264">
        <v>1</v>
      </c>
      <c r="D106" s="264" t="s">
        <v>35</v>
      </c>
      <c r="E106" s="264">
        <v>56</v>
      </c>
      <c r="F106" s="264">
        <v>250</v>
      </c>
      <c r="G106" s="53" t="str">
        <f>VLOOKUP(B106,категория!A$2:B$14,2,FALSE)</f>
        <v>картон до 250</v>
      </c>
    </row>
    <row r="107" spans="1:7">
      <c r="A107" s="263">
        <v>16</v>
      </c>
      <c r="B107" s="264">
        <v>112</v>
      </c>
      <c r="C107" s="264">
        <v>1</v>
      </c>
      <c r="D107" s="264" t="s">
        <v>318</v>
      </c>
      <c r="E107" s="264">
        <v>15000</v>
      </c>
      <c r="F107" s="264">
        <v>235</v>
      </c>
      <c r="G107" s="53" t="str">
        <f>VLOOKUP(B107,категория!A$2:B$14,2,FALSE)</f>
        <v>мел+офсет</v>
      </c>
    </row>
    <row r="108" spans="1:7">
      <c r="A108" s="263">
        <v>16</v>
      </c>
      <c r="B108" s="264">
        <v>131</v>
      </c>
      <c r="C108" s="264">
        <v>1</v>
      </c>
      <c r="D108" s="264" t="s">
        <v>318</v>
      </c>
      <c r="E108" s="264">
        <v>7500</v>
      </c>
      <c r="F108" s="264">
        <v>235</v>
      </c>
      <c r="G108" s="53" t="e">
        <f>VLOOKUP(B108,категория!A$2:B$14,2,FALSE)</f>
        <v>#N/A</v>
      </c>
    </row>
    <row r="109" spans="1:7">
      <c r="A109" s="263">
        <v>17</v>
      </c>
      <c r="B109" s="264">
        <v>112</v>
      </c>
      <c r="C109" s="264">
        <v>1</v>
      </c>
      <c r="D109" s="264" t="s">
        <v>318</v>
      </c>
      <c r="E109" s="264">
        <v>5000</v>
      </c>
      <c r="F109" s="264">
        <v>235</v>
      </c>
      <c r="G109" s="53" t="str">
        <f>VLOOKUP(B109,категория!A$2:B$14,2,FALSE)</f>
        <v>мел+офсет</v>
      </c>
    </row>
    <row r="110" spans="1:7">
      <c r="A110" s="263">
        <v>17</v>
      </c>
      <c r="B110" s="264">
        <v>131</v>
      </c>
      <c r="C110" s="264">
        <v>1</v>
      </c>
      <c r="D110" s="264" t="s">
        <v>318</v>
      </c>
      <c r="E110" s="264">
        <v>2500</v>
      </c>
      <c r="F110" s="264">
        <v>235</v>
      </c>
      <c r="G110" s="53" t="e">
        <f>VLOOKUP(B110,категория!A$2:B$14,2,FALSE)</f>
        <v>#N/A</v>
      </c>
    </row>
    <row r="111" spans="1:7">
      <c r="A111" s="263">
        <v>23</v>
      </c>
      <c r="B111" s="264">
        <v>110</v>
      </c>
      <c r="C111" s="264">
        <v>1</v>
      </c>
      <c r="D111" s="264" t="s">
        <v>41</v>
      </c>
      <c r="E111" s="264">
        <v>500</v>
      </c>
      <c r="F111" s="264">
        <v>350</v>
      </c>
      <c r="G111" s="53" t="str">
        <f>VLOOKUP(B111,категория!A$2:B$14,2,FALSE)</f>
        <v>мел+офсет</v>
      </c>
    </row>
    <row r="112" spans="1:7">
      <c r="A112" s="263">
        <v>27</v>
      </c>
      <c r="B112" s="264">
        <v>114</v>
      </c>
      <c r="C112" s="264">
        <v>1</v>
      </c>
      <c r="D112" s="264" t="s">
        <v>40</v>
      </c>
      <c r="E112" s="264">
        <v>1500</v>
      </c>
      <c r="F112" s="264">
        <v>325</v>
      </c>
      <c r="G112" s="53" t="str">
        <f>VLOOKUP(B112,категория!A$2:B$14,2,FALSE)</f>
        <v>картон от 270</v>
      </c>
    </row>
    <row r="113" spans="1:7">
      <c r="A113" s="263">
        <v>28</v>
      </c>
      <c r="B113" s="264">
        <v>110</v>
      </c>
      <c r="C113" s="264">
        <v>6</v>
      </c>
      <c r="D113" s="264" t="s">
        <v>38</v>
      </c>
      <c r="E113" s="264">
        <v>2250</v>
      </c>
      <c r="F113" s="264">
        <v>80</v>
      </c>
      <c r="G113" s="53" t="str">
        <f>VLOOKUP(B113,категория!A$2:B$14,2,FALSE)</f>
        <v>мел+офсет</v>
      </c>
    </row>
    <row r="114" spans="1:7">
      <c r="A114" s="263">
        <v>28</v>
      </c>
      <c r="B114" s="264">
        <v>131</v>
      </c>
      <c r="C114" s="264">
        <v>1</v>
      </c>
      <c r="D114" s="264" t="s">
        <v>40</v>
      </c>
      <c r="E114" s="264">
        <v>75</v>
      </c>
      <c r="F114" s="264">
        <v>250</v>
      </c>
      <c r="G114" s="53" t="e">
        <f>VLOOKUP(B114,категория!A$2:B$14,2,FALSE)</f>
        <v>#N/A</v>
      </c>
    </row>
    <row r="115" spans="1:7">
      <c r="A115" s="263">
        <v>28</v>
      </c>
      <c r="B115" s="264">
        <v>131</v>
      </c>
      <c r="C115" s="264">
        <v>1</v>
      </c>
      <c r="D115" s="264" t="s">
        <v>206</v>
      </c>
      <c r="E115" s="264">
        <v>75</v>
      </c>
      <c r="F115" s="264">
        <v>235</v>
      </c>
      <c r="G115" s="53" t="e">
        <f>VLOOKUP(B115,категория!A$2:B$14,2,FALSE)</f>
        <v>#N/A</v>
      </c>
    </row>
    <row r="116" spans="1:7">
      <c r="A116" s="263">
        <v>29</v>
      </c>
      <c r="B116" s="264">
        <v>131</v>
      </c>
      <c r="C116" s="264">
        <v>1</v>
      </c>
      <c r="D116" s="264" t="s">
        <v>48</v>
      </c>
      <c r="E116" s="264">
        <v>75</v>
      </c>
      <c r="F116" s="264">
        <v>350</v>
      </c>
      <c r="G116" s="53" t="e">
        <f>VLOOKUP(B116,категория!A$2:B$14,2,FALSE)</f>
        <v>#N/A</v>
      </c>
    </row>
    <row r="117" spans="1:7">
      <c r="A117" s="263">
        <v>30</v>
      </c>
      <c r="B117" s="264">
        <v>112</v>
      </c>
      <c r="C117" s="264">
        <v>1</v>
      </c>
      <c r="D117" s="264" t="s">
        <v>48</v>
      </c>
      <c r="E117" s="264">
        <v>300</v>
      </c>
      <c r="F117" s="264">
        <v>350</v>
      </c>
      <c r="G117" s="53" t="str">
        <f>VLOOKUP(B117,категория!A$2:B$14,2,FALSE)</f>
        <v>мел+офсет</v>
      </c>
    </row>
    <row r="118" spans="1:7">
      <c r="A118" s="263">
        <v>31</v>
      </c>
      <c r="B118" s="264">
        <v>126</v>
      </c>
      <c r="C118" s="264">
        <v>1</v>
      </c>
      <c r="D118" s="264" t="s">
        <v>35</v>
      </c>
      <c r="E118" s="264">
        <v>1000</v>
      </c>
      <c r="F118" s="264">
        <v>250</v>
      </c>
      <c r="G118" s="53" t="str">
        <f>VLOOKUP(B118,категория!A$2:B$14,2,FALSE)</f>
        <v>картон до 250</v>
      </c>
    </row>
    <row r="119" spans="1:7">
      <c r="A119" s="263">
        <v>33</v>
      </c>
      <c r="B119" s="264">
        <v>126</v>
      </c>
      <c r="C119" s="264">
        <v>1</v>
      </c>
      <c r="D119" s="264" t="s">
        <v>35</v>
      </c>
      <c r="E119" s="264">
        <v>1000</v>
      </c>
      <c r="F119" s="264">
        <v>250</v>
      </c>
      <c r="G119" s="53" t="str">
        <f>VLOOKUP(B119,категория!A$2:B$14,2,FALSE)</f>
        <v>картон до 250</v>
      </c>
    </row>
    <row r="120" spans="1:7">
      <c r="A120" s="263">
        <v>35</v>
      </c>
      <c r="B120" s="264">
        <v>126</v>
      </c>
      <c r="C120" s="264">
        <v>1</v>
      </c>
      <c r="D120" s="264" t="s">
        <v>35</v>
      </c>
      <c r="E120" s="264">
        <v>125</v>
      </c>
      <c r="F120" s="264">
        <v>250</v>
      </c>
      <c r="G120" s="53" t="str">
        <f>VLOOKUP(B120,категория!A$2:B$14,2,FALSE)</f>
        <v>картон до 250</v>
      </c>
    </row>
    <row r="121" spans="1:7">
      <c r="A121" s="263">
        <v>36</v>
      </c>
      <c r="B121" s="264">
        <v>112</v>
      </c>
      <c r="C121" s="264">
        <v>2</v>
      </c>
      <c r="D121" s="264" t="s">
        <v>308</v>
      </c>
      <c r="E121" s="264">
        <v>70</v>
      </c>
      <c r="F121" s="264">
        <v>120</v>
      </c>
      <c r="G121" s="53" t="str">
        <f>VLOOKUP(B121,категория!A$2:B$14,2,FALSE)</f>
        <v>мел+офсет</v>
      </c>
    </row>
    <row r="122" spans="1:7">
      <c r="A122" s="263">
        <v>37</v>
      </c>
      <c r="B122" s="264">
        <v>112</v>
      </c>
      <c r="C122" s="264">
        <v>2</v>
      </c>
      <c r="D122" s="264" t="s">
        <v>308</v>
      </c>
      <c r="E122" s="264">
        <v>20</v>
      </c>
      <c r="F122" s="264">
        <v>120</v>
      </c>
      <c r="G122" s="53" t="str">
        <f>VLOOKUP(B122,категория!A$2:B$14,2,FALSE)</f>
        <v>мел+офсет</v>
      </c>
    </row>
    <row r="123" spans="1:7">
      <c r="A123" s="263">
        <v>38</v>
      </c>
      <c r="B123" s="264">
        <v>114</v>
      </c>
      <c r="C123" s="264">
        <v>1</v>
      </c>
      <c r="D123" s="264" t="s">
        <v>35</v>
      </c>
      <c r="E123" s="264">
        <v>1150</v>
      </c>
      <c r="F123" s="264">
        <v>270</v>
      </c>
      <c r="G123" s="53" t="str">
        <f>VLOOKUP(B123,категория!A$2:B$14,2,FALSE)</f>
        <v>картон от 270</v>
      </c>
    </row>
    <row r="124" spans="1:7">
      <c r="A124" s="263">
        <v>41</v>
      </c>
      <c r="B124" s="264">
        <v>126</v>
      </c>
      <c r="C124" s="264">
        <v>1</v>
      </c>
      <c r="D124" s="264" t="s">
        <v>35</v>
      </c>
      <c r="E124" s="264">
        <v>10000</v>
      </c>
      <c r="F124" s="264">
        <v>250</v>
      </c>
      <c r="G124" s="53" t="str">
        <f>VLOOKUP(B124,категория!A$2:B$14,2,FALSE)</f>
        <v>картон до 250</v>
      </c>
    </row>
    <row r="125" spans="1:7">
      <c r="A125" s="263">
        <v>47</v>
      </c>
      <c r="B125" s="264">
        <v>112</v>
      </c>
      <c r="C125" s="264">
        <v>1</v>
      </c>
      <c r="D125" s="264" t="s">
        <v>48</v>
      </c>
      <c r="E125" s="264">
        <v>375</v>
      </c>
      <c r="F125" s="264">
        <v>170</v>
      </c>
      <c r="G125" s="53" t="str">
        <f>VLOOKUP(B125,категория!A$2:B$14,2,FALSE)</f>
        <v>мел+офсет</v>
      </c>
    </row>
    <row r="126" spans="1:7">
      <c r="A126" s="263">
        <v>47</v>
      </c>
      <c r="B126" s="264">
        <v>112</v>
      </c>
      <c r="C126" s="264">
        <v>6</v>
      </c>
      <c r="D126" s="264" t="s">
        <v>38</v>
      </c>
      <c r="E126" s="264">
        <v>18750</v>
      </c>
      <c r="F126" s="264">
        <v>80</v>
      </c>
      <c r="G126" s="53" t="str">
        <f>VLOOKUP(B126,категория!A$2:B$14,2,FALSE)</f>
        <v>мел+офсет</v>
      </c>
    </row>
    <row r="127" spans="1:7">
      <c r="A127" s="263">
        <v>47</v>
      </c>
      <c r="B127" s="264">
        <v>112</v>
      </c>
      <c r="C127" s="264">
        <v>1</v>
      </c>
      <c r="D127" s="264" t="s">
        <v>48</v>
      </c>
      <c r="E127" s="264">
        <v>375</v>
      </c>
      <c r="F127" s="264">
        <v>170</v>
      </c>
      <c r="G127" s="53" t="str">
        <f>VLOOKUP(B127,категория!A$2:B$14,2,FALSE)</f>
        <v>мел+офсет</v>
      </c>
    </row>
    <row r="128" spans="1:7">
      <c r="A128" s="263">
        <v>48</v>
      </c>
      <c r="B128" s="264">
        <v>110</v>
      </c>
      <c r="C128" s="264">
        <v>1</v>
      </c>
      <c r="D128" s="264" t="s">
        <v>42</v>
      </c>
      <c r="E128" s="264">
        <v>5000</v>
      </c>
      <c r="F128" s="264">
        <v>235</v>
      </c>
      <c r="G128" s="53" t="str">
        <f>VLOOKUP(B128,категория!A$2:B$14,2,FALSE)</f>
        <v>мел+офсет</v>
      </c>
    </row>
    <row r="129" spans="1:7">
      <c r="A129" s="263">
        <v>51</v>
      </c>
      <c r="B129" s="264">
        <v>114</v>
      </c>
      <c r="C129" s="264">
        <v>1</v>
      </c>
      <c r="D129" s="264" t="s">
        <v>40</v>
      </c>
      <c r="E129" s="264">
        <v>500</v>
      </c>
      <c r="F129" s="264">
        <v>270</v>
      </c>
      <c r="G129" s="53" t="str">
        <f>VLOOKUP(B129,категория!A$2:B$14,2,FALSE)</f>
        <v>картон от 270</v>
      </c>
    </row>
    <row r="130" spans="1:7">
      <c r="A130" s="263">
        <v>52</v>
      </c>
      <c r="B130" s="264">
        <v>114</v>
      </c>
      <c r="C130" s="264">
        <v>1</v>
      </c>
      <c r="D130" s="264" t="s">
        <v>40</v>
      </c>
      <c r="E130" s="264">
        <v>375</v>
      </c>
      <c r="F130" s="264">
        <v>275</v>
      </c>
      <c r="G130" s="53" t="str">
        <f>VLOOKUP(B130,категория!A$2:B$14,2,FALSE)</f>
        <v>картон от 270</v>
      </c>
    </row>
    <row r="131" spans="1:7">
      <c r="A131" s="263">
        <v>53</v>
      </c>
      <c r="B131" s="264">
        <v>126</v>
      </c>
      <c r="C131" s="264">
        <v>1</v>
      </c>
      <c r="D131" s="264" t="s">
        <v>40</v>
      </c>
      <c r="E131" s="264">
        <v>4000</v>
      </c>
      <c r="F131" s="264">
        <v>215</v>
      </c>
      <c r="G131" s="53" t="str">
        <f>VLOOKUP(B131,категория!A$2:B$14,2,FALSE)</f>
        <v>картон до 250</v>
      </c>
    </row>
    <row r="132" spans="1:7">
      <c r="A132" s="263">
        <v>53</v>
      </c>
      <c r="B132" s="264">
        <v>132</v>
      </c>
      <c r="C132" s="264">
        <v>1</v>
      </c>
      <c r="D132" s="264" t="s">
        <v>35</v>
      </c>
      <c r="E132" s="264">
        <v>4000</v>
      </c>
      <c r="F132" s="264"/>
      <c r="G132" s="53" t="str">
        <f>VLOOKUP(B132,категория!A$2:B$14,2,FALSE)</f>
        <v xml:space="preserve">лак </v>
      </c>
    </row>
    <row r="133" spans="1:7">
      <c r="A133" s="263">
        <v>54</v>
      </c>
      <c r="B133" s="264">
        <v>118</v>
      </c>
      <c r="C133" s="264">
        <v>1</v>
      </c>
      <c r="D133" s="264" t="s">
        <v>38</v>
      </c>
      <c r="E133" s="264">
        <v>250</v>
      </c>
      <c r="F133" s="264">
        <v>70</v>
      </c>
      <c r="G133" s="53" t="str">
        <f>VLOOKUP(B133,категория!A$2:B$14,2,FALSE)</f>
        <v>практика ч/б</v>
      </c>
    </row>
    <row r="134" spans="1:7">
      <c r="A134" s="263">
        <v>55</v>
      </c>
      <c r="B134" s="264">
        <v>122</v>
      </c>
      <c r="C134" s="264">
        <v>1</v>
      </c>
      <c r="D134" s="264" t="s">
        <v>39</v>
      </c>
      <c r="E134" s="264">
        <v>20</v>
      </c>
      <c r="F134" s="264">
        <v>210</v>
      </c>
      <c r="G134" s="53" t="e">
        <f>VLOOKUP(B134,категория!A$2:B$14,2,FALSE)</f>
        <v>#N/A</v>
      </c>
    </row>
    <row r="135" spans="1:7">
      <c r="A135" s="263">
        <v>59</v>
      </c>
      <c r="B135" s="264">
        <v>126</v>
      </c>
      <c r="C135" s="264">
        <v>1</v>
      </c>
      <c r="D135" s="264" t="s">
        <v>206</v>
      </c>
      <c r="E135" s="264">
        <v>2100</v>
      </c>
      <c r="F135" s="264">
        <v>230</v>
      </c>
      <c r="G135" s="53" t="str">
        <f>VLOOKUP(B135,категория!A$2:B$14,2,FALSE)</f>
        <v>картон до 250</v>
      </c>
    </row>
    <row r="136" spans="1:7">
      <c r="A136" s="263">
        <v>63</v>
      </c>
      <c r="B136" s="264">
        <v>110</v>
      </c>
      <c r="C136" s="264">
        <v>6</v>
      </c>
      <c r="D136" s="264" t="s">
        <v>38</v>
      </c>
      <c r="E136" s="264">
        <v>3000</v>
      </c>
      <c r="F136" s="264">
        <v>90</v>
      </c>
      <c r="G136" s="53" t="str">
        <f>VLOOKUP(B136,категория!A$2:B$14,2,FALSE)</f>
        <v>мел+офсет</v>
      </c>
    </row>
    <row r="137" spans="1:7">
      <c r="A137" s="263">
        <v>63</v>
      </c>
      <c r="B137" s="264">
        <v>110</v>
      </c>
      <c r="C137" s="264">
        <v>1</v>
      </c>
      <c r="D137" s="264" t="s">
        <v>48</v>
      </c>
      <c r="E137" s="264">
        <v>125</v>
      </c>
      <c r="F137" s="264">
        <v>250</v>
      </c>
      <c r="G137" s="53" t="str">
        <f>VLOOKUP(B137,категория!A$2:B$14,2,FALSE)</f>
        <v>мел+офсет</v>
      </c>
    </row>
    <row r="138" spans="1:7">
      <c r="A138" s="263">
        <v>63</v>
      </c>
      <c r="B138" s="264">
        <v>131</v>
      </c>
      <c r="C138" s="264">
        <v>1</v>
      </c>
      <c r="D138" s="264" t="s">
        <v>35</v>
      </c>
      <c r="E138" s="264">
        <v>63</v>
      </c>
      <c r="F138" s="264">
        <v>210</v>
      </c>
      <c r="G138" s="53" t="e">
        <f>VLOOKUP(B138,категория!A$2:B$14,2,FALSE)</f>
        <v>#N/A</v>
      </c>
    </row>
    <row r="139" spans="1:7">
      <c r="A139" s="263">
        <v>67</v>
      </c>
      <c r="B139" s="264">
        <v>114</v>
      </c>
      <c r="C139" s="264">
        <v>1</v>
      </c>
      <c r="D139" s="264" t="s">
        <v>350</v>
      </c>
      <c r="E139" s="264">
        <v>2500</v>
      </c>
      <c r="F139" s="264">
        <v>440</v>
      </c>
      <c r="G139" s="53" t="str">
        <f>VLOOKUP(B139,категория!A$2:B$14,2,FALSE)</f>
        <v>картон от 270</v>
      </c>
    </row>
    <row r="140" spans="1:7">
      <c r="A140" s="263">
        <v>67</v>
      </c>
      <c r="B140" s="264">
        <v>114</v>
      </c>
      <c r="C140" s="264">
        <v>1</v>
      </c>
      <c r="D140" s="264" t="s">
        <v>350</v>
      </c>
      <c r="E140" s="264">
        <v>2500</v>
      </c>
      <c r="F140" s="264"/>
      <c r="G140" s="53" t="str">
        <f>VLOOKUP(B140,категория!A$2:B$14,2,FALSE)</f>
        <v>картон от 270</v>
      </c>
    </row>
    <row r="141" spans="1:7">
      <c r="A141" s="263">
        <v>67</v>
      </c>
      <c r="B141" s="264">
        <v>132</v>
      </c>
      <c r="C141" s="264">
        <v>1</v>
      </c>
      <c r="D141" s="264" t="s">
        <v>350</v>
      </c>
      <c r="E141" s="264">
        <v>2500</v>
      </c>
      <c r="F141" s="264"/>
      <c r="G141" s="53" t="str">
        <f>VLOOKUP(B141,категория!A$2:B$14,2,FALSE)</f>
        <v xml:space="preserve">лак </v>
      </c>
    </row>
    <row r="142" spans="1:7">
      <c r="A142" s="263">
        <v>68</v>
      </c>
      <c r="B142" s="264">
        <v>110</v>
      </c>
      <c r="C142" s="264">
        <v>1</v>
      </c>
      <c r="D142" s="264" t="s">
        <v>39</v>
      </c>
      <c r="E142" s="264">
        <v>625</v>
      </c>
      <c r="F142" s="264">
        <v>210</v>
      </c>
      <c r="G142" s="53" t="str">
        <f>VLOOKUP(B142,категория!A$2:B$14,2,FALSE)</f>
        <v>мел+офсет</v>
      </c>
    </row>
    <row r="143" spans="1:7">
      <c r="A143" s="263">
        <v>69</v>
      </c>
      <c r="B143" s="264">
        <v>126</v>
      </c>
      <c r="C143" s="264">
        <v>1</v>
      </c>
      <c r="D143" s="264" t="s">
        <v>35</v>
      </c>
      <c r="E143" s="264">
        <v>5</v>
      </c>
      <c r="F143" s="264">
        <v>210</v>
      </c>
      <c r="G143" s="53" t="str">
        <f>VLOOKUP(B143,категория!A$2:B$14,2,FALSE)</f>
        <v>картон до 250</v>
      </c>
    </row>
    <row r="144" spans="1:7">
      <c r="A144" s="263">
        <v>70</v>
      </c>
      <c r="B144" s="264">
        <v>126</v>
      </c>
      <c r="C144" s="264">
        <v>1</v>
      </c>
      <c r="D144" s="264" t="s">
        <v>35</v>
      </c>
      <c r="E144" s="264">
        <v>5</v>
      </c>
      <c r="F144" s="264">
        <v>210</v>
      </c>
      <c r="G144" s="53" t="str">
        <f>VLOOKUP(B144,категория!A$2:B$14,2,FALSE)</f>
        <v>картон до 250</v>
      </c>
    </row>
    <row r="145" spans="1:7">
      <c r="A145" s="263">
        <v>72</v>
      </c>
      <c r="B145" s="264">
        <v>110</v>
      </c>
      <c r="C145" s="264">
        <v>1</v>
      </c>
      <c r="D145" s="264" t="s">
        <v>41</v>
      </c>
      <c r="E145" s="264">
        <v>500</v>
      </c>
      <c r="F145" s="264">
        <v>150</v>
      </c>
      <c r="G145" s="53" t="str">
        <f>VLOOKUP(B145,категория!A$2:B$14,2,FALSE)</f>
        <v>мел+офсет</v>
      </c>
    </row>
    <row r="146" spans="1:7">
      <c r="A146" s="263">
        <v>73</v>
      </c>
      <c r="B146" s="264">
        <v>114</v>
      </c>
      <c r="C146" s="264">
        <v>1</v>
      </c>
      <c r="D146" s="264" t="s">
        <v>35</v>
      </c>
      <c r="E146" s="264">
        <v>3000</v>
      </c>
      <c r="F146" s="264">
        <v>300</v>
      </c>
      <c r="G146" s="53" t="str">
        <f>VLOOKUP(B146,категория!A$2:B$14,2,FALSE)</f>
        <v>картон от 270</v>
      </c>
    </row>
    <row r="147" spans="1:7">
      <c r="A147" s="263">
        <v>74</v>
      </c>
      <c r="B147" s="264">
        <v>126</v>
      </c>
      <c r="C147" s="264">
        <v>1</v>
      </c>
      <c r="D147" s="264" t="s">
        <v>335</v>
      </c>
      <c r="E147" s="264">
        <v>6000</v>
      </c>
      <c r="F147" s="264">
        <v>250</v>
      </c>
      <c r="G147" s="53" t="str">
        <f>VLOOKUP(B147,категория!A$2:B$14,2,FALSE)</f>
        <v>картон до 250</v>
      </c>
    </row>
    <row r="148" spans="1:7">
      <c r="A148" s="263">
        <v>76</v>
      </c>
      <c r="B148" s="264">
        <v>110</v>
      </c>
      <c r="C148" s="264">
        <v>3</v>
      </c>
      <c r="D148" s="264" t="s">
        <v>41</v>
      </c>
      <c r="E148" s="264">
        <v>10000</v>
      </c>
      <c r="F148" s="264">
        <v>115</v>
      </c>
      <c r="G148" s="53" t="str">
        <f>VLOOKUP(B148,категория!A$2:B$14,2,FALSE)</f>
        <v>мел+офсет</v>
      </c>
    </row>
    <row r="149" spans="1:7">
      <c r="A149" s="263">
        <v>77</v>
      </c>
      <c r="B149" s="264">
        <v>110</v>
      </c>
      <c r="C149" s="264">
        <v>1</v>
      </c>
      <c r="D149" s="264" t="s">
        <v>39</v>
      </c>
      <c r="E149" s="264">
        <v>625</v>
      </c>
      <c r="F149" s="264">
        <v>210</v>
      </c>
      <c r="G149" s="53" t="str">
        <f>VLOOKUP(B149,категория!A$2:B$14,2,FALSE)</f>
        <v>мел+офсет</v>
      </c>
    </row>
    <row r="150" spans="1:7">
      <c r="A150" s="263">
        <v>78</v>
      </c>
      <c r="B150" s="264">
        <v>118</v>
      </c>
      <c r="C150" s="264">
        <v>1</v>
      </c>
      <c r="D150" s="264" t="s">
        <v>39</v>
      </c>
      <c r="E150" s="264">
        <v>334</v>
      </c>
      <c r="F150" s="264">
        <v>210</v>
      </c>
      <c r="G150" s="53" t="str">
        <f>VLOOKUP(B150,категория!A$2:B$14,2,FALSE)</f>
        <v>практика ч/б</v>
      </c>
    </row>
    <row r="151" spans="1:7">
      <c r="A151" s="263">
        <v>79</v>
      </c>
      <c r="B151" s="264">
        <v>131</v>
      </c>
      <c r="C151" s="264">
        <v>1</v>
      </c>
      <c r="D151" s="264" t="s">
        <v>35</v>
      </c>
      <c r="E151" s="264">
        <v>10</v>
      </c>
      <c r="F151" s="264">
        <v>300</v>
      </c>
      <c r="G151" s="53" t="e">
        <f>VLOOKUP(B151,категория!A$2:B$14,2,FALSE)</f>
        <v>#N/A</v>
      </c>
    </row>
    <row r="152" spans="1:7">
      <c r="A152" s="263">
        <v>80</v>
      </c>
      <c r="B152" s="264">
        <v>127</v>
      </c>
      <c r="C152" s="264">
        <v>1</v>
      </c>
      <c r="D152" s="264" t="s">
        <v>35</v>
      </c>
      <c r="E152" s="264">
        <v>10000</v>
      </c>
      <c r="F152" s="264">
        <v>230</v>
      </c>
      <c r="G152" s="53" t="str">
        <f>VLOOKUP(B152,категория!A$2:B$14,2,FALSE)</f>
        <v>картон до 250</v>
      </c>
    </row>
    <row r="153" spans="1:7">
      <c r="A153" s="263">
        <v>80</v>
      </c>
      <c r="B153" s="264">
        <v>132</v>
      </c>
      <c r="C153" s="264">
        <v>1</v>
      </c>
      <c r="D153" s="264" t="s">
        <v>35</v>
      </c>
      <c r="E153" s="264">
        <v>10000</v>
      </c>
      <c r="F153" s="264"/>
      <c r="G153" s="53" t="str">
        <f>VLOOKUP(B153,категория!A$2:B$14,2,FALSE)</f>
        <v xml:space="preserve">лак </v>
      </c>
    </row>
    <row r="154" spans="1:7">
      <c r="A154" s="263">
        <v>90</v>
      </c>
      <c r="B154" s="264">
        <v>114</v>
      </c>
      <c r="C154" s="264">
        <v>1</v>
      </c>
      <c r="D154" s="264" t="s">
        <v>35</v>
      </c>
      <c r="E154" s="264">
        <v>1000</v>
      </c>
      <c r="F154" s="264">
        <v>250</v>
      </c>
      <c r="G154" s="186" t="s">
        <v>56</v>
      </c>
    </row>
    <row r="155" spans="1:7">
      <c r="A155" s="263">
        <v>91</v>
      </c>
      <c r="B155" s="264">
        <v>131</v>
      </c>
      <c r="C155" s="264">
        <v>1</v>
      </c>
      <c r="D155" s="264" t="s">
        <v>35</v>
      </c>
      <c r="E155" s="264">
        <v>75</v>
      </c>
      <c r="F155" s="264">
        <v>250</v>
      </c>
      <c r="G155" s="53" t="e">
        <f>VLOOKUP(B155,категория!A$2:B$14,2,FALSE)</f>
        <v>#N/A</v>
      </c>
    </row>
    <row r="156" spans="1:7">
      <c r="A156" s="263">
        <v>91</v>
      </c>
      <c r="B156" s="264">
        <v>131</v>
      </c>
      <c r="C156" s="264">
        <v>1</v>
      </c>
      <c r="D156" s="264" t="s">
        <v>35</v>
      </c>
      <c r="E156" s="264">
        <v>75</v>
      </c>
      <c r="F156" s="264">
        <v>250</v>
      </c>
      <c r="G156" s="53" t="e">
        <f>VLOOKUP(B156,категория!A$2:B$14,2,FALSE)</f>
        <v>#N/A</v>
      </c>
    </row>
    <row r="157" spans="1:7">
      <c r="A157" s="263">
        <v>92</v>
      </c>
      <c r="B157" s="264">
        <v>126</v>
      </c>
      <c r="C157" s="264">
        <v>1</v>
      </c>
      <c r="D157" s="264" t="s">
        <v>35</v>
      </c>
      <c r="E157" s="264">
        <v>1000</v>
      </c>
      <c r="F157" s="264">
        <v>230</v>
      </c>
      <c r="G157" s="53" t="str">
        <f>VLOOKUP(B157,категория!A$2:B$14,2,FALSE)</f>
        <v>картон до 250</v>
      </c>
    </row>
    <row r="158" spans="1:7">
      <c r="A158" s="263">
        <v>93</v>
      </c>
      <c r="B158" s="264">
        <v>126</v>
      </c>
      <c r="C158" s="264">
        <v>1</v>
      </c>
      <c r="D158" s="264" t="s">
        <v>35</v>
      </c>
      <c r="E158" s="264">
        <v>5000</v>
      </c>
      <c r="F158" s="264">
        <v>230</v>
      </c>
      <c r="G158" s="53" t="str">
        <f>VLOOKUP(B158,категория!A$2:B$14,2,FALSE)</f>
        <v>картон до 250</v>
      </c>
    </row>
    <row r="159" spans="1:7">
      <c r="A159" s="263">
        <v>93</v>
      </c>
      <c r="B159" s="264">
        <v>126</v>
      </c>
      <c r="C159" s="264">
        <v>1</v>
      </c>
      <c r="D159" s="264" t="s">
        <v>35</v>
      </c>
      <c r="E159" s="264">
        <v>5000</v>
      </c>
      <c r="F159" s="264">
        <v>230</v>
      </c>
      <c r="G159" s="53" t="str">
        <f>VLOOKUP(B159,категория!A$2:B$14,2,FALSE)</f>
        <v>картон до 250</v>
      </c>
    </row>
    <row r="160" spans="1:7">
      <c r="A160" s="263">
        <v>94</v>
      </c>
      <c r="B160" s="264">
        <v>126</v>
      </c>
      <c r="C160" s="264">
        <v>1</v>
      </c>
      <c r="D160" s="264" t="s">
        <v>35</v>
      </c>
      <c r="E160" s="264">
        <v>1000</v>
      </c>
      <c r="F160" s="264">
        <v>250</v>
      </c>
      <c r="G160" s="53" t="str">
        <f>VLOOKUP(B160,категория!A$2:B$14,2,FALSE)</f>
        <v>картон до 250</v>
      </c>
    </row>
    <row r="161" spans="1:7">
      <c r="A161" s="263">
        <v>94</v>
      </c>
      <c r="B161" s="264">
        <v>126</v>
      </c>
      <c r="C161" s="264">
        <v>1</v>
      </c>
      <c r="D161" s="264" t="s">
        <v>35</v>
      </c>
      <c r="E161" s="264">
        <v>1000</v>
      </c>
      <c r="F161" s="264">
        <v>250</v>
      </c>
      <c r="G161" s="53" t="str">
        <f>VLOOKUP(B161,категория!A$2:B$14,2,FALSE)</f>
        <v>картон до 250</v>
      </c>
    </row>
    <row r="162" spans="1:7">
      <c r="A162" s="263">
        <v>94</v>
      </c>
      <c r="B162" s="264">
        <v>114</v>
      </c>
      <c r="C162" s="264">
        <v>1</v>
      </c>
      <c r="D162" s="264" t="s">
        <v>52</v>
      </c>
      <c r="E162" s="264">
        <v>63</v>
      </c>
      <c r="F162" s="264">
        <v>200</v>
      </c>
      <c r="G162" s="53" t="str">
        <f>VLOOKUP(B162,категория!A$2:B$14,2,FALSE)</f>
        <v>картон от 270</v>
      </c>
    </row>
    <row r="163" spans="1:7">
      <c r="A163" s="263">
        <v>95</v>
      </c>
      <c r="B163" s="264">
        <v>118</v>
      </c>
      <c r="C163" s="264">
        <v>1</v>
      </c>
      <c r="D163" s="264" t="s">
        <v>38</v>
      </c>
      <c r="E163" s="264">
        <v>1250</v>
      </c>
      <c r="F163" s="264">
        <v>55</v>
      </c>
      <c r="G163" s="53" t="str">
        <f>VLOOKUP(B163,категория!A$2:B$14,2,FALSE)</f>
        <v>практика ч/б</v>
      </c>
    </row>
    <row r="164" spans="1:7">
      <c r="A164" s="263">
        <v>96</v>
      </c>
      <c r="B164" s="264">
        <v>110</v>
      </c>
      <c r="C164" s="264">
        <v>1</v>
      </c>
      <c r="D164" s="264" t="s">
        <v>41</v>
      </c>
      <c r="E164" s="264">
        <v>250</v>
      </c>
      <c r="F164" s="264">
        <v>350</v>
      </c>
      <c r="G164" s="53" t="str">
        <f>VLOOKUP(B164,категория!A$2:B$14,2,FALSE)</f>
        <v>мел+офсет</v>
      </c>
    </row>
    <row r="165" spans="1:7">
      <c r="A165" s="263">
        <v>97</v>
      </c>
      <c r="B165" s="264">
        <v>110</v>
      </c>
      <c r="C165" s="264">
        <v>1</v>
      </c>
      <c r="D165" s="264" t="s">
        <v>41</v>
      </c>
      <c r="E165" s="264">
        <v>200</v>
      </c>
      <c r="F165" s="264">
        <v>250</v>
      </c>
      <c r="G165" s="53" t="str">
        <f>VLOOKUP(B165,категория!A$2:B$14,2,FALSE)</f>
        <v>мел+офсет</v>
      </c>
    </row>
    <row r="166" spans="1:7">
      <c r="A166" s="263">
        <v>99</v>
      </c>
      <c r="B166" s="264">
        <v>122</v>
      </c>
      <c r="C166" s="264">
        <v>1</v>
      </c>
      <c r="D166" s="264" t="s">
        <v>39</v>
      </c>
      <c r="E166" s="264">
        <v>19</v>
      </c>
      <c r="F166" s="264">
        <v>210</v>
      </c>
      <c r="G166" s="53" t="e">
        <f>VLOOKUP(B166,категория!A$2:B$14,2,FALSE)</f>
        <v>#N/A</v>
      </c>
    </row>
    <row r="167" spans="1:7">
      <c r="A167" s="263">
        <v>100</v>
      </c>
      <c r="B167" s="264">
        <v>122</v>
      </c>
      <c r="C167" s="264">
        <v>1</v>
      </c>
      <c r="D167" s="264" t="s">
        <v>39</v>
      </c>
      <c r="E167" s="264">
        <v>20</v>
      </c>
      <c r="F167" s="264">
        <v>210</v>
      </c>
      <c r="G167" s="53" t="e">
        <f>VLOOKUP(B167,категория!A$2:B$14,2,FALSE)</f>
        <v>#N/A</v>
      </c>
    </row>
    <row r="168" spans="1:7">
      <c r="A168" s="263">
        <v>104</v>
      </c>
      <c r="B168" s="264">
        <v>110</v>
      </c>
      <c r="C168" s="264">
        <v>1</v>
      </c>
      <c r="D168" s="264" t="s">
        <v>41</v>
      </c>
      <c r="E168" s="264">
        <v>50</v>
      </c>
      <c r="F168" s="264">
        <v>170</v>
      </c>
      <c r="G168" s="53" t="str">
        <f>VLOOKUP(B168,категория!A$2:B$14,2,FALSE)</f>
        <v>мел+офсет</v>
      </c>
    </row>
    <row r="169" spans="1:7">
      <c r="A169" s="263">
        <v>106</v>
      </c>
      <c r="B169" s="264">
        <v>112</v>
      </c>
      <c r="C169" s="264">
        <v>1</v>
      </c>
      <c r="D169" s="264" t="s">
        <v>39</v>
      </c>
      <c r="E169" s="264">
        <v>1000</v>
      </c>
      <c r="F169" s="264">
        <v>210</v>
      </c>
      <c r="G169" s="53" t="str">
        <f>VLOOKUP(B169,категория!A$2:B$14,2,FALSE)</f>
        <v>мел+офсет</v>
      </c>
    </row>
    <row r="170" spans="1:7">
      <c r="A170" s="263">
        <v>107</v>
      </c>
      <c r="B170" s="264">
        <v>126</v>
      </c>
      <c r="C170" s="264">
        <v>1</v>
      </c>
      <c r="D170" s="264" t="s">
        <v>40</v>
      </c>
      <c r="E170" s="264">
        <v>1334</v>
      </c>
      <c r="F170" s="264">
        <v>235</v>
      </c>
      <c r="G170" s="53" t="str">
        <f>VLOOKUP(B170,категория!A$2:B$14,2,FALSE)</f>
        <v>картон до 250</v>
      </c>
    </row>
    <row r="171" spans="1:7">
      <c r="A171" s="263">
        <v>108</v>
      </c>
      <c r="B171" s="264">
        <v>122</v>
      </c>
      <c r="C171" s="264">
        <v>1</v>
      </c>
      <c r="D171" s="264" t="s">
        <v>41</v>
      </c>
      <c r="E171" s="264">
        <v>25</v>
      </c>
      <c r="F171" s="264">
        <v>350</v>
      </c>
      <c r="G171" s="53" t="e">
        <f>VLOOKUP(B171,категория!A$2:B$14,2,FALSE)</f>
        <v>#N/A</v>
      </c>
    </row>
    <row r="172" spans="1:7">
      <c r="A172" s="263">
        <v>108</v>
      </c>
      <c r="B172" s="264">
        <v>131</v>
      </c>
      <c r="C172" s="264">
        <v>6</v>
      </c>
      <c r="D172" s="264" t="s">
        <v>38</v>
      </c>
      <c r="E172" s="264">
        <v>312</v>
      </c>
      <c r="F172" s="264">
        <v>80</v>
      </c>
      <c r="G172" s="53" t="e">
        <f>VLOOKUP(B172,категория!A$2:B$14,2,FALSE)</f>
        <v>#N/A</v>
      </c>
    </row>
    <row r="173" spans="1:7">
      <c r="A173" s="263">
        <v>108</v>
      </c>
      <c r="B173" s="264">
        <v>131</v>
      </c>
      <c r="C173" s="264">
        <v>1</v>
      </c>
      <c r="D173" s="264" t="s">
        <v>149</v>
      </c>
      <c r="E173" s="264">
        <v>7</v>
      </c>
      <c r="F173" s="264">
        <v>45</v>
      </c>
      <c r="G173" s="53" t="e">
        <f>VLOOKUP(B173,категория!A$2:B$14,2,FALSE)</f>
        <v>#N/A</v>
      </c>
    </row>
    <row r="174" spans="1:7">
      <c r="A174" s="263">
        <v>109</v>
      </c>
      <c r="B174" s="264">
        <v>122</v>
      </c>
      <c r="C174" s="264">
        <v>1</v>
      </c>
      <c r="D174" s="264" t="s">
        <v>41</v>
      </c>
      <c r="E174" s="264">
        <v>7</v>
      </c>
      <c r="F174" s="264">
        <v>350</v>
      </c>
      <c r="G174" s="53" t="e">
        <f>VLOOKUP(B174,категория!A$2:B$14,2,FALSE)</f>
        <v>#N/A</v>
      </c>
    </row>
    <row r="175" spans="1:7">
      <c r="A175" s="263">
        <v>109</v>
      </c>
      <c r="B175" s="264">
        <v>131</v>
      </c>
      <c r="C175" s="264">
        <v>6</v>
      </c>
      <c r="D175" s="264" t="s">
        <v>38</v>
      </c>
      <c r="E175" s="264">
        <v>312</v>
      </c>
      <c r="F175" s="264">
        <v>80</v>
      </c>
      <c r="G175" s="53" t="e">
        <f>VLOOKUP(B175,категория!A$2:B$14,2,FALSE)</f>
        <v>#N/A</v>
      </c>
    </row>
    <row r="176" spans="1:7">
      <c r="A176" s="263">
        <v>109</v>
      </c>
      <c r="B176" s="264">
        <v>131</v>
      </c>
      <c r="C176" s="264">
        <v>1</v>
      </c>
      <c r="D176" s="264" t="s">
        <v>149</v>
      </c>
      <c r="E176" s="264">
        <v>7</v>
      </c>
      <c r="F176" s="264">
        <v>45</v>
      </c>
      <c r="G176" s="53" t="e">
        <f>VLOOKUP(B176,категория!A$2:B$14,2,FALSE)</f>
        <v>#N/A</v>
      </c>
    </row>
    <row r="177" spans="1:7">
      <c r="A177" s="263">
        <v>110</v>
      </c>
      <c r="B177" s="264">
        <v>112</v>
      </c>
      <c r="C177" s="264">
        <v>6</v>
      </c>
      <c r="D177" s="264" t="s">
        <v>38</v>
      </c>
      <c r="E177" s="264">
        <v>6250</v>
      </c>
      <c r="F177" s="264">
        <v>80</v>
      </c>
      <c r="G177" s="53" t="str">
        <f>VLOOKUP(B177,категория!A$2:B$14,2,FALSE)</f>
        <v>мел+офсет</v>
      </c>
    </row>
    <row r="178" spans="1:7">
      <c r="A178" s="263">
        <v>110</v>
      </c>
      <c r="B178" s="264">
        <v>126</v>
      </c>
      <c r="C178" s="264">
        <v>1</v>
      </c>
      <c r="D178" s="264" t="s">
        <v>35</v>
      </c>
      <c r="E178" s="264">
        <v>400</v>
      </c>
      <c r="F178" s="264">
        <v>300</v>
      </c>
      <c r="G178" s="53" t="str">
        <f>VLOOKUP(B178,категория!A$2:B$14,2,FALSE)</f>
        <v>картон до 250</v>
      </c>
    </row>
    <row r="179" spans="1:7">
      <c r="A179" s="263">
        <v>110</v>
      </c>
      <c r="B179" s="264">
        <v>131</v>
      </c>
      <c r="C179" s="264">
        <v>1</v>
      </c>
      <c r="D179" s="264" t="s">
        <v>35</v>
      </c>
      <c r="E179" s="264">
        <v>125</v>
      </c>
      <c r="F179" s="264">
        <v>215</v>
      </c>
      <c r="G179" s="53" t="e">
        <f>VLOOKUP(B179,категория!A$2:B$14,2,FALSE)</f>
        <v>#N/A</v>
      </c>
    </row>
    <row r="180" spans="1:7">
      <c r="A180" s="263">
        <v>111</v>
      </c>
      <c r="B180" s="264">
        <v>126</v>
      </c>
      <c r="C180" s="264">
        <v>1</v>
      </c>
      <c r="D180" s="264" t="s">
        <v>35</v>
      </c>
      <c r="E180" s="264">
        <v>1112</v>
      </c>
      <c r="F180" s="264">
        <v>250</v>
      </c>
      <c r="G180" s="53" t="str">
        <f>VLOOKUP(B180,категория!A$2:B$14,2,FALSE)</f>
        <v>картон до 250</v>
      </c>
    </row>
    <row r="181" spans="1:7">
      <c r="A181" s="263">
        <v>112</v>
      </c>
      <c r="B181" s="264">
        <v>110</v>
      </c>
      <c r="C181" s="264">
        <v>1</v>
      </c>
      <c r="D181" s="264" t="s">
        <v>38</v>
      </c>
      <c r="E181" s="264">
        <v>1500</v>
      </c>
      <c r="F181" s="264">
        <v>70</v>
      </c>
      <c r="G181" s="53" t="str">
        <f>VLOOKUP(B181,категория!A$2:B$14,2,FALSE)</f>
        <v>мел+офсет</v>
      </c>
    </row>
    <row r="182" spans="1:7">
      <c r="A182" s="263">
        <v>113</v>
      </c>
      <c r="B182" s="264">
        <v>112</v>
      </c>
      <c r="C182" s="264">
        <v>3</v>
      </c>
      <c r="D182" s="264" t="s">
        <v>41</v>
      </c>
      <c r="E182" s="264">
        <v>400</v>
      </c>
      <c r="F182" s="264">
        <v>170</v>
      </c>
      <c r="G182" s="53" t="str">
        <f>VLOOKUP(B182,категория!A$2:B$14,2,FALSE)</f>
        <v>мел+офсет</v>
      </c>
    </row>
    <row r="183" spans="1:7">
      <c r="A183" s="263">
        <v>114</v>
      </c>
      <c r="B183" s="264">
        <v>126</v>
      </c>
      <c r="C183" s="264">
        <v>1</v>
      </c>
      <c r="D183" s="264" t="s">
        <v>35</v>
      </c>
      <c r="E183" s="264">
        <v>2000</v>
      </c>
      <c r="F183" s="264">
        <v>250</v>
      </c>
      <c r="G183" s="53" t="str">
        <f>VLOOKUP(B183,категория!A$2:B$14,2,FALSE)</f>
        <v>картон до 250</v>
      </c>
    </row>
    <row r="184" spans="1:7">
      <c r="A184" s="263">
        <v>114</v>
      </c>
      <c r="B184" s="264">
        <v>126</v>
      </c>
      <c r="C184" s="264">
        <v>1</v>
      </c>
      <c r="D184" s="264" t="s">
        <v>35</v>
      </c>
      <c r="E184" s="264">
        <v>2000</v>
      </c>
      <c r="F184" s="264">
        <v>250</v>
      </c>
      <c r="G184" s="53" t="str">
        <f>VLOOKUP(B184,категория!A$2:B$14,2,FALSE)</f>
        <v>картон до 250</v>
      </c>
    </row>
    <row r="185" spans="1:7">
      <c r="A185" s="263">
        <v>116</v>
      </c>
      <c r="B185" s="264">
        <v>114</v>
      </c>
      <c r="C185" s="264">
        <v>1</v>
      </c>
      <c r="D185" s="264" t="s">
        <v>35</v>
      </c>
      <c r="E185" s="264">
        <v>150</v>
      </c>
      <c r="F185" s="264">
        <v>270</v>
      </c>
      <c r="G185" s="53" t="str">
        <f>VLOOKUP(B185,категория!A$2:B$14,2,FALSE)</f>
        <v>картон от 270</v>
      </c>
    </row>
    <row r="186" spans="1:7">
      <c r="A186" s="263">
        <v>117</v>
      </c>
      <c r="B186" s="264">
        <v>114</v>
      </c>
      <c r="C186" s="264">
        <v>1</v>
      </c>
      <c r="D186" s="264" t="s">
        <v>35</v>
      </c>
      <c r="E186" s="264">
        <v>125</v>
      </c>
      <c r="F186" s="264">
        <v>270</v>
      </c>
      <c r="G186" s="53" t="str">
        <f>VLOOKUP(B186,категория!A$2:B$14,2,FALSE)</f>
        <v>картон от 270</v>
      </c>
    </row>
    <row r="187" spans="1:7">
      <c r="A187" s="263">
        <v>117</v>
      </c>
      <c r="B187" s="264">
        <v>132</v>
      </c>
      <c r="C187" s="264">
        <v>1</v>
      </c>
      <c r="D187" s="264" t="s">
        <v>35</v>
      </c>
      <c r="E187" s="264">
        <v>125</v>
      </c>
      <c r="F187" s="264">
        <v>0</v>
      </c>
      <c r="G187" s="53" t="str">
        <f>VLOOKUP(B187,категория!A$2:B$14,2,FALSE)</f>
        <v xml:space="preserve">лак </v>
      </c>
    </row>
    <row r="188" spans="1:7">
      <c r="A188" s="263">
        <v>124</v>
      </c>
      <c r="B188" s="264">
        <v>122</v>
      </c>
      <c r="C188" s="264">
        <v>3</v>
      </c>
      <c r="D188" s="264" t="s">
        <v>48</v>
      </c>
      <c r="E188" s="264">
        <v>40</v>
      </c>
      <c r="F188" s="264">
        <v>350</v>
      </c>
      <c r="G188" s="53" t="e">
        <f>VLOOKUP(B188,категория!A$2:B$14,2,FALSE)</f>
        <v>#N/A</v>
      </c>
    </row>
    <row r="189" spans="1:7">
      <c r="A189" s="263">
        <v>125</v>
      </c>
      <c r="B189" s="264">
        <v>126</v>
      </c>
      <c r="C189" s="264">
        <v>1</v>
      </c>
      <c r="D189" s="264" t="s">
        <v>35</v>
      </c>
      <c r="E189" s="264">
        <v>1500</v>
      </c>
      <c r="F189" s="264">
        <v>235</v>
      </c>
      <c r="G189" s="53" t="str">
        <f>VLOOKUP(B189,категория!A$2:B$14,2,FALSE)</f>
        <v>картон до 250</v>
      </c>
    </row>
    <row r="190" spans="1:7">
      <c r="A190" s="263">
        <v>125</v>
      </c>
      <c r="B190" s="264">
        <v>131</v>
      </c>
      <c r="C190" s="264">
        <v>1</v>
      </c>
      <c r="D190" s="264" t="s">
        <v>35</v>
      </c>
      <c r="E190" s="264">
        <v>1500</v>
      </c>
      <c r="F190" s="264">
        <v>0</v>
      </c>
      <c r="G190" s="53" t="e">
        <f>VLOOKUP(B190,категория!A$2:B$14,2,FALSE)</f>
        <v>#N/A</v>
      </c>
    </row>
    <row r="191" spans="1:7">
      <c r="A191" s="263">
        <v>126</v>
      </c>
      <c r="B191" s="264">
        <v>110</v>
      </c>
      <c r="C191" s="264">
        <v>2</v>
      </c>
      <c r="D191" s="264" t="s">
        <v>38</v>
      </c>
      <c r="E191" s="264">
        <v>750</v>
      </c>
      <c r="F191" s="264">
        <v>80</v>
      </c>
      <c r="G191" s="53" t="str">
        <f>VLOOKUP(B191,категория!A$2:B$14,2,FALSE)</f>
        <v>мел+офсет</v>
      </c>
    </row>
    <row r="192" spans="1:7">
      <c r="A192" s="263">
        <v>126</v>
      </c>
      <c r="B192" s="264">
        <v>110</v>
      </c>
      <c r="C192" s="264">
        <v>2</v>
      </c>
      <c r="D192" s="264" t="s">
        <v>38</v>
      </c>
      <c r="E192" s="264">
        <v>750</v>
      </c>
      <c r="F192" s="264">
        <v>0</v>
      </c>
      <c r="G192" s="53" t="str">
        <f>VLOOKUP(B192,категория!A$2:B$14,2,FALSE)</f>
        <v>мел+офсет</v>
      </c>
    </row>
    <row r="193" spans="1:7">
      <c r="A193" s="263">
        <v>127</v>
      </c>
      <c r="B193" s="264">
        <v>126</v>
      </c>
      <c r="C193" s="264">
        <v>1</v>
      </c>
      <c r="D193" s="264" t="s">
        <v>35</v>
      </c>
      <c r="E193" s="264">
        <v>3000</v>
      </c>
      <c r="F193" s="264">
        <v>250</v>
      </c>
      <c r="G193" s="53" t="str">
        <f>VLOOKUP(B193,категория!A$2:B$14,2,FALSE)</f>
        <v>картон до 250</v>
      </c>
    </row>
    <row r="194" spans="1:7">
      <c r="A194" s="263">
        <v>127</v>
      </c>
      <c r="B194" s="264">
        <v>132</v>
      </c>
      <c r="C194" s="264">
        <v>1</v>
      </c>
      <c r="D194" s="264" t="s">
        <v>35</v>
      </c>
      <c r="E194" s="264">
        <v>3000</v>
      </c>
      <c r="F194" s="264">
        <v>250</v>
      </c>
      <c r="G194" s="53" t="str">
        <f>VLOOKUP(B194,категория!A$2:B$14,2,FALSE)</f>
        <v xml:space="preserve">лак </v>
      </c>
    </row>
    <row r="195" spans="1:7">
      <c r="A195" s="263">
        <v>128</v>
      </c>
      <c r="B195" s="264">
        <v>126</v>
      </c>
      <c r="C195" s="264">
        <v>1</v>
      </c>
      <c r="D195" s="264" t="s">
        <v>35</v>
      </c>
      <c r="E195" s="264">
        <v>1667</v>
      </c>
      <c r="F195" s="264">
        <v>235</v>
      </c>
      <c r="G195" s="53" t="str">
        <f>VLOOKUP(B195,категория!A$2:B$14,2,FALSE)</f>
        <v>картон до 250</v>
      </c>
    </row>
    <row r="196" spans="1:7">
      <c r="A196" s="263">
        <v>129</v>
      </c>
      <c r="B196" s="264">
        <v>126</v>
      </c>
      <c r="C196" s="264">
        <v>1</v>
      </c>
      <c r="D196" s="264" t="s">
        <v>35</v>
      </c>
      <c r="E196" s="264">
        <v>10000</v>
      </c>
      <c r="F196" s="264">
        <v>250</v>
      </c>
      <c r="G196" s="53" t="str">
        <f>VLOOKUP(B196,категория!A$2:B$14,2,FALSE)</f>
        <v>картон до 250</v>
      </c>
    </row>
    <row r="197" spans="1:7">
      <c r="A197" s="263">
        <v>130</v>
      </c>
      <c r="B197" s="264">
        <v>126</v>
      </c>
      <c r="C197" s="264">
        <v>1</v>
      </c>
      <c r="D197" s="264" t="s">
        <v>35</v>
      </c>
      <c r="E197" s="264">
        <v>10000</v>
      </c>
      <c r="F197" s="264">
        <v>250</v>
      </c>
      <c r="G197" s="53" t="str">
        <f>VLOOKUP(B197,категория!A$2:B$14,2,FALSE)</f>
        <v>картон до 250</v>
      </c>
    </row>
    <row r="198" spans="1:7">
      <c r="A198" s="263">
        <v>132</v>
      </c>
      <c r="B198" s="264">
        <v>110</v>
      </c>
      <c r="C198" s="264">
        <v>1</v>
      </c>
      <c r="D198" s="264" t="s">
        <v>38</v>
      </c>
      <c r="E198" s="264">
        <v>3000</v>
      </c>
      <c r="F198" s="264">
        <v>70</v>
      </c>
      <c r="G198" s="53" t="str">
        <f>VLOOKUP(B198,категория!A$2:B$14,2,FALSE)</f>
        <v>мел+офсет</v>
      </c>
    </row>
    <row r="199" spans="1:7">
      <c r="A199" s="263">
        <v>133</v>
      </c>
      <c r="B199" s="264">
        <v>114</v>
      </c>
      <c r="C199" s="264">
        <v>1</v>
      </c>
      <c r="D199" s="264" t="s">
        <v>35</v>
      </c>
      <c r="E199" s="264">
        <v>1000</v>
      </c>
      <c r="F199" s="264">
        <v>290</v>
      </c>
      <c r="G199" s="53" t="str">
        <f>VLOOKUP(B199,категория!A$2:B$14,2,FALSE)</f>
        <v>картон от 270</v>
      </c>
    </row>
    <row r="200" spans="1:7">
      <c r="A200" s="263">
        <v>134</v>
      </c>
      <c r="B200" s="264">
        <v>114</v>
      </c>
      <c r="C200" s="264">
        <v>1</v>
      </c>
      <c r="D200" s="264" t="s">
        <v>35</v>
      </c>
      <c r="E200" s="264">
        <v>3000</v>
      </c>
      <c r="F200" s="264">
        <v>290</v>
      </c>
      <c r="G200" s="53" t="str">
        <f>VLOOKUP(B200,категория!A$2:B$14,2,FALSE)</f>
        <v>картон от 270</v>
      </c>
    </row>
    <row r="201" spans="1:7">
      <c r="A201" s="263">
        <v>136</v>
      </c>
      <c r="B201" s="264">
        <v>114</v>
      </c>
      <c r="C201" s="264">
        <v>1</v>
      </c>
      <c r="D201" s="264" t="s">
        <v>35</v>
      </c>
      <c r="E201" s="264">
        <v>3000</v>
      </c>
      <c r="F201" s="264">
        <v>300</v>
      </c>
      <c r="G201" s="53" t="str">
        <f>VLOOKUP(B201,категория!A$2:B$14,2,FALSE)</f>
        <v>картон от 270</v>
      </c>
    </row>
    <row r="202" spans="1:7">
      <c r="A202" s="263">
        <v>137</v>
      </c>
      <c r="B202" s="264">
        <v>127</v>
      </c>
      <c r="C202" s="264">
        <v>1</v>
      </c>
      <c r="D202" s="264" t="s">
        <v>35</v>
      </c>
      <c r="E202" s="264">
        <v>10000</v>
      </c>
      <c r="F202" s="264">
        <v>210</v>
      </c>
      <c r="G202" s="53" t="str">
        <f>VLOOKUP(B202,категория!A$2:B$14,2,FALSE)</f>
        <v>картон до 250</v>
      </c>
    </row>
    <row r="203" spans="1:7">
      <c r="A203" s="263">
        <v>137</v>
      </c>
      <c r="B203" s="264">
        <v>132</v>
      </c>
      <c r="C203" s="264">
        <v>1</v>
      </c>
      <c r="D203" s="264" t="s">
        <v>35</v>
      </c>
      <c r="E203" s="264">
        <v>10000</v>
      </c>
      <c r="F203" s="264"/>
      <c r="G203" s="53" t="str">
        <f>VLOOKUP(B203,категория!A$2:B$14,2,FALSE)</f>
        <v xml:space="preserve">лак </v>
      </c>
    </row>
    <row r="204" spans="1:7">
      <c r="A204" s="263">
        <v>143</v>
      </c>
      <c r="B204" s="264">
        <v>126</v>
      </c>
      <c r="C204" s="264">
        <v>1</v>
      </c>
      <c r="D204" s="264" t="s">
        <v>206</v>
      </c>
      <c r="E204" s="264">
        <v>3000</v>
      </c>
      <c r="F204" s="264">
        <v>235</v>
      </c>
      <c r="G204" s="53" t="str">
        <f>VLOOKUP(B204,категория!A$2:B$14,2,FALSE)</f>
        <v>картон до 250</v>
      </c>
    </row>
    <row r="205" spans="1:7">
      <c r="A205" s="263">
        <v>143</v>
      </c>
      <c r="B205" s="264">
        <v>110</v>
      </c>
      <c r="C205" s="264">
        <v>1</v>
      </c>
      <c r="D205" s="264" t="s">
        <v>49</v>
      </c>
      <c r="E205" s="264">
        <v>3000</v>
      </c>
      <c r="F205" s="264">
        <v>300</v>
      </c>
      <c r="G205" s="53" t="str">
        <f>VLOOKUP(B205,категория!A$2:B$14,2,FALSE)</f>
        <v>мел+офсет</v>
      </c>
    </row>
    <row r="206" spans="1:7">
      <c r="A206" s="263">
        <v>145</v>
      </c>
      <c r="B206" s="264">
        <v>110</v>
      </c>
      <c r="C206" s="264">
        <v>1</v>
      </c>
      <c r="D206" s="264" t="s">
        <v>41</v>
      </c>
      <c r="E206" s="264">
        <v>500</v>
      </c>
      <c r="F206" s="264">
        <v>350</v>
      </c>
      <c r="G206" s="53" t="str">
        <f>VLOOKUP(B206,категория!A$2:B$14,2,FALSE)</f>
        <v>мел+офсет</v>
      </c>
    </row>
    <row r="207" spans="1:7">
      <c r="A207" s="263">
        <v>145</v>
      </c>
      <c r="B207" s="264">
        <v>110</v>
      </c>
      <c r="C207" s="264">
        <v>1</v>
      </c>
      <c r="D207" s="264" t="s">
        <v>41</v>
      </c>
      <c r="E207" s="264">
        <v>500</v>
      </c>
      <c r="F207" s="264">
        <v>0</v>
      </c>
      <c r="G207" s="53" t="str">
        <f>VLOOKUP(B207,категория!A$2:B$14,2,FALSE)</f>
        <v>мел+офсет</v>
      </c>
    </row>
    <row r="208" spans="1:7">
      <c r="A208" s="263">
        <v>146</v>
      </c>
      <c r="B208" s="264">
        <v>114</v>
      </c>
      <c r="C208" s="264">
        <v>1</v>
      </c>
      <c r="D208" s="264" t="s">
        <v>206</v>
      </c>
      <c r="E208" s="264">
        <v>600</v>
      </c>
      <c r="F208" s="264">
        <v>450</v>
      </c>
      <c r="G208" s="53" t="str">
        <f>VLOOKUP(B208,категория!A$2:B$14,2,FALSE)</f>
        <v>картон от 270</v>
      </c>
    </row>
    <row r="209" spans="1:7">
      <c r="A209" s="263">
        <v>146</v>
      </c>
      <c r="B209" s="264">
        <v>114</v>
      </c>
      <c r="C209" s="264">
        <v>1</v>
      </c>
      <c r="D209" s="264" t="s">
        <v>206</v>
      </c>
      <c r="E209" s="264">
        <v>600</v>
      </c>
      <c r="F209" s="264">
        <v>450</v>
      </c>
      <c r="G209" s="53" t="str">
        <f>VLOOKUP(B209,категория!A$2:B$14,2,FALSE)</f>
        <v>картон от 270</v>
      </c>
    </row>
    <row r="210" spans="1:7">
      <c r="A210" s="263">
        <v>148</v>
      </c>
      <c r="B210" s="264">
        <v>110</v>
      </c>
      <c r="C210" s="264">
        <v>1</v>
      </c>
      <c r="D210" s="264" t="s">
        <v>41</v>
      </c>
      <c r="E210" s="264">
        <v>5000</v>
      </c>
      <c r="F210" s="264">
        <v>250</v>
      </c>
      <c r="G210" s="53" t="str">
        <f>VLOOKUP(B210,категория!A$2:B$14,2,FALSE)</f>
        <v>мел+офсет</v>
      </c>
    </row>
    <row r="211" spans="1:7">
      <c r="A211" s="263">
        <v>149</v>
      </c>
      <c r="B211" s="264">
        <v>118</v>
      </c>
      <c r="C211" s="264">
        <v>6</v>
      </c>
      <c r="D211" s="264" t="s">
        <v>38</v>
      </c>
      <c r="E211" s="264">
        <v>625</v>
      </c>
      <c r="F211" s="264">
        <v>80</v>
      </c>
      <c r="G211" s="53" t="str">
        <f>VLOOKUP(B211,категория!A$2:B$14,2,FALSE)</f>
        <v>практика ч/б</v>
      </c>
    </row>
    <row r="212" spans="1:7">
      <c r="A212" s="263">
        <v>149</v>
      </c>
      <c r="B212" s="264">
        <v>131</v>
      </c>
      <c r="C212" s="264">
        <v>1</v>
      </c>
      <c r="D212" s="264" t="s">
        <v>48</v>
      </c>
      <c r="E212" s="264">
        <v>50</v>
      </c>
      <c r="F212" s="264">
        <v>350</v>
      </c>
      <c r="G212" s="53" t="e">
        <f>VLOOKUP(B212,категория!A$2:B$14,2,FALSE)</f>
        <v>#N/A</v>
      </c>
    </row>
    <row r="213" spans="1:7">
      <c r="A213" s="263">
        <v>149</v>
      </c>
      <c r="B213" s="264">
        <v>131</v>
      </c>
      <c r="C213" s="264">
        <v>1</v>
      </c>
      <c r="D213" s="264" t="s">
        <v>206</v>
      </c>
      <c r="E213" s="264">
        <v>13</v>
      </c>
      <c r="F213" s="264">
        <v>235</v>
      </c>
      <c r="G213" s="53" t="e">
        <f>VLOOKUP(B213,категория!A$2:B$14,2,FALSE)</f>
        <v>#N/A</v>
      </c>
    </row>
    <row r="214" spans="1:7">
      <c r="A214" s="263">
        <v>156</v>
      </c>
      <c r="B214" s="264">
        <v>110</v>
      </c>
      <c r="C214" s="264">
        <v>1</v>
      </c>
      <c r="D214" s="264" t="s">
        <v>41</v>
      </c>
      <c r="E214" s="264">
        <v>1000</v>
      </c>
      <c r="F214" s="264">
        <v>170</v>
      </c>
      <c r="G214" s="53" t="str">
        <f>VLOOKUP(B214,категория!A$2:B$14,2,FALSE)</f>
        <v>мел+офсет</v>
      </c>
    </row>
    <row r="215" spans="1:7">
      <c r="A215" s="263">
        <v>157</v>
      </c>
      <c r="B215" s="264">
        <v>133</v>
      </c>
      <c r="C215" s="264">
        <v>1</v>
      </c>
      <c r="D215" s="264" t="s">
        <v>351</v>
      </c>
      <c r="E215" s="264">
        <v>1000</v>
      </c>
      <c r="F215" s="264">
        <v>270</v>
      </c>
      <c r="G215" s="53" t="str">
        <f>VLOOKUP(B215,категория!A$2:B$14,2,FALSE)</f>
        <v>картон от 270</v>
      </c>
    </row>
    <row r="216" spans="1:7">
      <c r="A216" s="263">
        <v>158</v>
      </c>
      <c r="B216" s="264">
        <v>133</v>
      </c>
      <c r="C216" s="264">
        <v>1</v>
      </c>
      <c r="D216" s="264" t="s">
        <v>35</v>
      </c>
      <c r="E216" s="264">
        <v>60</v>
      </c>
      <c r="F216" s="264">
        <v>300</v>
      </c>
      <c r="G216" s="53" t="str">
        <f>VLOOKUP(B216,категория!A$2:B$14,2,FALSE)</f>
        <v>картон от 270</v>
      </c>
    </row>
    <row r="217" spans="1:7">
      <c r="A217" s="263">
        <v>158</v>
      </c>
      <c r="B217" s="264">
        <v>112</v>
      </c>
      <c r="C217" s="264">
        <v>3</v>
      </c>
      <c r="D217" s="264" t="s">
        <v>41</v>
      </c>
      <c r="E217" s="264">
        <v>240</v>
      </c>
      <c r="F217" s="264">
        <v>0</v>
      </c>
      <c r="G217" s="53" t="str">
        <f>VLOOKUP(B217,категория!A$2:B$14,2,FALSE)</f>
        <v>мел+офсет</v>
      </c>
    </row>
    <row r="218" spans="1:7">
      <c r="A218" s="263">
        <v>160</v>
      </c>
      <c r="B218" s="264">
        <v>126</v>
      </c>
      <c r="C218" s="264">
        <v>1</v>
      </c>
      <c r="D218" s="264" t="s">
        <v>35</v>
      </c>
      <c r="E218" s="264">
        <v>1500</v>
      </c>
      <c r="F218" s="264">
        <v>250</v>
      </c>
      <c r="G218" s="53" t="str">
        <f>VLOOKUP(B218,категория!A$2:B$14,2,FALSE)</f>
        <v>картон до 250</v>
      </c>
    </row>
    <row r="219" spans="1:7">
      <c r="A219" s="263">
        <v>160</v>
      </c>
      <c r="B219" s="264">
        <v>132</v>
      </c>
      <c r="C219" s="264">
        <v>1</v>
      </c>
      <c r="D219" s="264" t="s">
        <v>35</v>
      </c>
      <c r="E219" s="264">
        <v>1500</v>
      </c>
      <c r="F219" s="264">
        <v>250</v>
      </c>
      <c r="G219" s="53" t="str">
        <f>VLOOKUP(B219,категория!A$2:B$14,2,FALSE)</f>
        <v xml:space="preserve">лак </v>
      </c>
    </row>
    <row r="220" spans="1:7">
      <c r="A220" s="263">
        <v>164</v>
      </c>
      <c r="B220" s="264">
        <v>112</v>
      </c>
      <c r="C220" s="264">
        <v>1</v>
      </c>
      <c r="D220" s="264" t="s">
        <v>35</v>
      </c>
      <c r="E220" s="264">
        <v>4</v>
      </c>
      <c r="F220" s="264">
        <v>270</v>
      </c>
      <c r="G220" s="53" t="str">
        <f>VLOOKUP(B220,категория!A$2:B$14,2,FALSE)</f>
        <v>мел+офсет</v>
      </c>
    </row>
    <row r="221" spans="1:7">
      <c r="A221" s="263">
        <v>164</v>
      </c>
      <c r="B221" s="264">
        <v>112</v>
      </c>
      <c r="C221" s="264">
        <v>1</v>
      </c>
      <c r="D221" s="264" t="s">
        <v>35</v>
      </c>
      <c r="E221" s="264">
        <v>4</v>
      </c>
      <c r="F221" s="264">
        <v>270</v>
      </c>
      <c r="G221" s="53" t="str">
        <f>VLOOKUP(B221,категория!A$2:B$14,2,FALSE)</f>
        <v>мел+офсет</v>
      </c>
    </row>
    <row r="222" spans="1:7">
      <c r="A222" s="263">
        <v>165</v>
      </c>
      <c r="B222" s="264">
        <v>114</v>
      </c>
      <c r="C222" s="264">
        <v>1</v>
      </c>
      <c r="D222" s="264" t="s">
        <v>35</v>
      </c>
      <c r="E222" s="264">
        <v>1667</v>
      </c>
      <c r="F222" s="264">
        <v>270</v>
      </c>
      <c r="G222" s="53" t="str">
        <f>VLOOKUP(B222,категория!A$2:B$14,2,FALSE)</f>
        <v>картон от 270</v>
      </c>
    </row>
    <row r="223" spans="1:7">
      <c r="A223" s="263">
        <v>165</v>
      </c>
      <c r="B223" s="264">
        <v>114</v>
      </c>
      <c r="C223" s="264">
        <v>1</v>
      </c>
      <c r="D223" s="264" t="s">
        <v>35</v>
      </c>
      <c r="E223" s="264">
        <v>1667</v>
      </c>
      <c r="F223" s="264">
        <v>270</v>
      </c>
      <c r="G223" s="53" t="str">
        <f>VLOOKUP(B223,категория!A$2:B$14,2,FALSE)</f>
        <v>картон от 270</v>
      </c>
    </row>
    <row r="224" spans="1:7">
      <c r="A224" s="263">
        <v>166</v>
      </c>
      <c r="B224" s="264">
        <v>126</v>
      </c>
      <c r="C224" s="264">
        <v>1</v>
      </c>
      <c r="D224" s="264" t="s">
        <v>318</v>
      </c>
      <c r="E224" s="264">
        <v>2000</v>
      </c>
      <c r="F224" s="264">
        <v>235</v>
      </c>
      <c r="G224" s="53" t="str">
        <f>VLOOKUP(B224,категория!A$2:B$14,2,FALSE)</f>
        <v>картон до 250</v>
      </c>
    </row>
    <row r="225" spans="1:7">
      <c r="A225" s="263">
        <v>166</v>
      </c>
      <c r="B225" s="264">
        <v>132</v>
      </c>
      <c r="C225" s="264">
        <v>1</v>
      </c>
      <c r="D225" s="264" t="s">
        <v>318</v>
      </c>
      <c r="E225" s="264">
        <v>2000</v>
      </c>
      <c r="F225" s="264"/>
      <c r="G225" s="53" t="str">
        <f>VLOOKUP(B225,категория!A$2:B$14,2,FALSE)</f>
        <v xml:space="preserve">лак </v>
      </c>
    </row>
    <row r="226" spans="1:7">
      <c r="A226" s="263">
        <v>167</v>
      </c>
      <c r="B226" s="264">
        <v>126</v>
      </c>
      <c r="C226" s="264">
        <v>1</v>
      </c>
      <c r="D226" s="264" t="s">
        <v>318</v>
      </c>
      <c r="E226" s="264">
        <v>2000</v>
      </c>
      <c r="F226" s="264">
        <v>235</v>
      </c>
      <c r="G226" s="53" t="str">
        <f>VLOOKUP(B226,категория!A$2:B$14,2,FALSE)</f>
        <v>картон до 250</v>
      </c>
    </row>
    <row r="227" spans="1:7">
      <c r="A227" s="263">
        <v>167</v>
      </c>
      <c r="B227" s="264">
        <v>132</v>
      </c>
      <c r="C227" s="264">
        <v>1</v>
      </c>
      <c r="D227" s="264" t="s">
        <v>318</v>
      </c>
      <c r="E227" s="264">
        <v>2000</v>
      </c>
      <c r="F227" s="264"/>
      <c r="G227" s="53" t="str">
        <f>VLOOKUP(B227,категория!A$2:B$14,2,FALSE)</f>
        <v xml:space="preserve">лак </v>
      </c>
    </row>
    <row r="228" spans="1:7">
      <c r="A228" s="263">
        <v>168</v>
      </c>
      <c r="B228" s="264">
        <v>126</v>
      </c>
      <c r="C228" s="264">
        <v>1</v>
      </c>
      <c r="D228" s="264" t="s">
        <v>35</v>
      </c>
      <c r="E228" s="264">
        <v>10000</v>
      </c>
      <c r="F228" s="264">
        <v>250</v>
      </c>
      <c r="G228" s="53" t="str">
        <f>VLOOKUP(B228,категория!A$2:B$14,2,FALSE)</f>
        <v>картон до 250</v>
      </c>
    </row>
    <row r="229" spans="1:7">
      <c r="A229" s="263">
        <v>169</v>
      </c>
      <c r="B229" s="264">
        <v>126</v>
      </c>
      <c r="C229" s="264">
        <v>1</v>
      </c>
      <c r="D229" s="264" t="s">
        <v>35</v>
      </c>
      <c r="E229" s="264">
        <v>10000</v>
      </c>
      <c r="F229" s="264">
        <v>250</v>
      </c>
      <c r="G229" s="53" t="str">
        <f>VLOOKUP(B229,категория!A$2:B$14,2,FALSE)</f>
        <v>картон до 250</v>
      </c>
    </row>
    <row r="230" spans="1:7">
      <c r="A230" s="263">
        <v>171</v>
      </c>
      <c r="B230" s="264">
        <v>123</v>
      </c>
      <c r="C230" s="264">
        <v>3</v>
      </c>
      <c r="D230" s="264" t="s">
        <v>207</v>
      </c>
      <c r="E230" s="264">
        <v>275</v>
      </c>
      <c r="F230" s="264">
        <v>350</v>
      </c>
      <c r="G230" s="53" t="s">
        <v>60</v>
      </c>
    </row>
    <row r="231" spans="1:7">
      <c r="A231" s="263">
        <v>171</v>
      </c>
      <c r="B231" s="264">
        <v>123</v>
      </c>
      <c r="C231" s="264">
        <v>1</v>
      </c>
      <c r="D231" s="264" t="s">
        <v>207</v>
      </c>
      <c r="E231" s="264">
        <v>13</v>
      </c>
      <c r="F231" s="264">
        <v>350</v>
      </c>
      <c r="G231" s="53" t="s">
        <v>60</v>
      </c>
    </row>
    <row r="232" spans="1:7">
      <c r="A232" s="263">
        <v>173</v>
      </c>
      <c r="B232" s="264">
        <v>118</v>
      </c>
      <c r="C232" s="264">
        <v>1</v>
      </c>
      <c r="D232" s="264" t="s">
        <v>352</v>
      </c>
      <c r="E232" s="264">
        <v>1250</v>
      </c>
      <c r="F232" s="264">
        <v>55</v>
      </c>
      <c r="G232" s="53" t="str">
        <f>VLOOKUP(B232,категория!A$2:B$14,2,FALSE)</f>
        <v>практика ч/б</v>
      </c>
    </row>
    <row r="233" spans="1:7">
      <c r="A233" s="263">
        <v>173</v>
      </c>
      <c r="B233" s="264">
        <v>118</v>
      </c>
      <c r="C233" s="264">
        <v>1</v>
      </c>
      <c r="D233" s="264" t="s">
        <v>352</v>
      </c>
      <c r="E233" s="264">
        <v>1250</v>
      </c>
      <c r="F233" s="264">
        <v>55</v>
      </c>
      <c r="G233" s="53" t="str">
        <f>VLOOKUP(B233,категория!A$2:B$14,2,FALSE)</f>
        <v>практика ч/б</v>
      </c>
    </row>
    <row r="234" spans="1:7">
      <c r="A234" s="263">
        <v>173</v>
      </c>
      <c r="B234" s="264">
        <v>118</v>
      </c>
      <c r="C234" s="264">
        <v>1</v>
      </c>
      <c r="D234" s="264" t="s">
        <v>352</v>
      </c>
      <c r="E234" s="264">
        <v>1250</v>
      </c>
      <c r="F234" s="264">
        <v>55</v>
      </c>
      <c r="G234" s="53" t="str">
        <f>VLOOKUP(B234,категория!A$2:B$14,2,FALSE)</f>
        <v>практика ч/б</v>
      </c>
    </row>
    <row r="235" spans="1:7">
      <c r="A235" s="263">
        <v>173</v>
      </c>
      <c r="B235" s="264">
        <v>118</v>
      </c>
      <c r="C235" s="264">
        <v>1</v>
      </c>
      <c r="D235" s="264" t="s">
        <v>352</v>
      </c>
      <c r="E235" s="264">
        <v>1250</v>
      </c>
      <c r="F235" s="264">
        <v>55</v>
      </c>
      <c r="G235" s="53" t="str">
        <f>VLOOKUP(B235,категория!A$2:B$14,2,FALSE)</f>
        <v>практика ч/б</v>
      </c>
    </row>
    <row r="236" spans="1:7">
      <c r="A236" s="263">
        <v>173</v>
      </c>
      <c r="B236" s="264">
        <v>112</v>
      </c>
      <c r="C236" s="264">
        <v>1</v>
      </c>
      <c r="D236" s="264" t="s">
        <v>206</v>
      </c>
      <c r="E236" s="264">
        <v>1250</v>
      </c>
      <c r="F236" s="264">
        <v>235</v>
      </c>
      <c r="G236" s="53" t="str">
        <f>VLOOKUP(B236,категория!A$2:B$14,2,FALSE)</f>
        <v>мел+офсет</v>
      </c>
    </row>
    <row r="237" spans="1:7">
      <c r="A237" s="263">
        <v>174</v>
      </c>
      <c r="B237" s="264">
        <v>127</v>
      </c>
      <c r="C237" s="264">
        <v>1</v>
      </c>
      <c r="D237" s="264" t="s">
        <v>40</v>
      </c>
      <c r="E237" s="264">
        <v>19500</v>
      </c>
      <c r="F237" s="264">
        <v>250</v>
      </c>
      <c r="G237" s="53" t="str">
        <f>VLOOKUP(B237,категория!A$2:B$14,2,FALSE)</f>
        <v>картон до 250</v>
      </c>
    </row>
    <row r="238" spans="1:7">
      <c r="A238" s="263">
        <v>174</v>
      </c>
      <c r="B238" s="264">
        <v>127</v>
      </c>
      <c r="C238" s="264">
        <v>1</v>
      </c>
      <c r="D238" s="264" t="s">
        <v>40</v>
      </c>
      <c r="E238" s="264">
        <v>19500</v>
      </c>
      <c r="F238" s="264">
        <v>250</v>
      </c>
      <c r="G238" s="53" t="str">
        <f>VLOOKUP(B238,категория!A$2:B$14,2,FALSE)</f>
        <v>картон до 250</v>
      </c>
    </row>
    <row r="239" spans="1:7">
      <c r="A239" s="263">
        <v>175</v>
      </c>
      <c r="B239" s="264">
        <v>119</v>
      </c>
      <c r="C239" s="264">
        <v>1</v>
      </c>
      <c r="D239" s="264" t="s">
        <v>285</v>
      </c>
      <c r="E239" s="264">
        <v>12000</v>
      </c>
      <c r="F239" s="264">
        <v>60</v>
      </c>
      <c r="G239" s="53" t="str">
        <f>VLOOKUP(B239,категория!A$2:B$14,2,FALSE)</f>
        <v>практика ч/б</v>
      </c>
    </row>
    <row r="240" spans="1:7">
      <c r="A240" s="263">
        <v>176</v>
      </c>
      <c r="B240" s="264">
        <v>114</v>
      </c>
      <c r="C240" s="264">
        <v>1</v>
      </c>
      <c r="D240" s="264" t="s">
        <v>42</v>
      </c>
      <c r="E240" s="264">
        <v>1667</v>
      </c>
      <c r="F240" s="264">
        <v>310</v>
      </c>
      <c r="G240" s="53" t="str">
        <f>VLOOKUP(B240,категория!A$2:B$14,2,FALSE)</f>
        <v>картон от 270</v>
      </c>
    </row>
    <row r="241" spans="1:7">
      <c r="A241" s="263">
        <v>183</v>
      </c>
      <c r="B241" s="264">
        <v>122</v>
      </c>
      <c r="C241" s="264">
        <v>1</v>
      </c>
      <c r="D241" s="264" t="s">
        <v>39</v>
      </c>
      <c r="E241" s="264">
        <v>9</v>
      </c>
      <c r="F241" s="264">
        <v>210</v>
      </c>
      <c r="G241" s="53" t="e">
        <f>VLOOKUP(B241,категория!A$2:B$14,2,FALSE)</f>
        <v>#N/A</v>
      </c>
    </row>
    <row r="242" spans="1:7">
      <c r="A242" s="263">
        <v>186</v>
      </c>
      <c r="B242" s="264">
        <v>114</v>
      </c>
      <c r="C242" s="264">
        <v>1</v>
      </c>
      <c r="D242" s="264" t="s">
        <v>35</v>
      </c>
      <c r="E242" s="264">
        <v>1000</v>
      </c>
      <c r="F242" s="264">
        <v>330</v>
      </c>
      <c r="G242" s="53" t="str">
        <f>VLOOKUP(B242,категория!A$2:B$14,2,FALSE)</f>
        <v>картон от 270</v>
      </c>
    </row>
    <row r="243" spans="1:7">
      <c r="A243" s="263">
        <v>186</v>
      </c>
      <c r="B243" s="264">
        <v>132</v>
      </c>
      <c r="C243" s="264">
        <v>1</v>
      </c>
      <c r="D243" s="264" t="s">
        <v>35</v>
      </c>
      <c r="E243" s="264">
        <v>1000</v>
      </c>
      <c r="F243" s="264">
        <v>330</v>
      </c>
      <c r="G243" s="53" t="str">
        <f>VLOOKUP(B243,категория!A$2:B$14,2,FALSE)</f>
        <v xml:space="preserve">лак </v>
      </c>
    </row>
    <row r="244" spans="1:7">
      <c r="A244" s="263">
        <v>186</v>
      </c>
      <c r="B244" s="264">
        <v>131</v>
      </c>
      <c r="C244" s="264">
        <v>1</v>
      </c>
      <c r="D244" s="264" t="s">
        <v>52</v>
      </c>
      <c r="E244" s="264">
        <v>36</v>
      </c>
      <c r="F244" s="264">
        <v>200</v>
      </c>
      <c r="G244" s="53" t="e">
        <f>VLOOKUP(B244,категория!A$2:B$14,2,FALSE)</f>
        <v>#N/A</v>
      </c>
    </row>
    <row r="245" spans="1:7">
      <c r="A245" s="263">
        <v>190</v>
      </c>
      <c r="B245" s="264">
        <v>126</v>
      </c>
      <c r="C245" s="264">
        <v>1</v>
      </c>
      <c r="D245" s="264" t="s">
        <v>35</v>
      </c>
      <c r="E245" s="264">
        <v>500</v>
      </c>
      <c r="F245" s="264">
        <v>250</v>
      </c>
      <c r="G245" s="53" t="str">
        <f>VLOOKUP(B245,категория!A$2:B$14,2,FALSE)</f>
        <v>картон до 250</v>
      </c>
    </row>
    <row r="246" spans="1:7">
      <c r="A246" s="263">
        <v>190</v>
      </c>
      <c r="B246" s="264">
        <v>132</v>
      </c>
      <c r="C246" s="264">
        <v>1</v>
      </c>
      <c r="D246" s="264" t="s">
        <v>35</v>
      </c>
      <c r="E246" s="264">
        <v>500</v>
      </c>
      <c r="F246" s="264">
        <v>0</v>
      </c>
      <c r="G246" s="53" t="str">
        <f>VLOOKUP(B246,категория!A$2:B$14,2,FALSE)</f>
        <v xml:space="preserve">лак </v>
      </c>
    </row>
    <row r="247" spans="1:7">
      <c r="A247" s="263">
        <v>196</v>
      </c>
      <c r="B247" s="264">
        <v>114</v>
      </c>
      <c r="C247" s="264">
        <v>3</v>
      </c>
      <c r="D247" s="264" t="s">
        <v>53</v>
      </c>
      <c r="E247" s="264">
        <v>3300</v>
      </c>
      <c r="F247" s="264">
        <v>270</v>
      </c>
      <c r="G247" s="53" t="str">
        <f>VLOOKUP(B247,категория!A$2:B$14,2,FALSE)</f>
        <v>картон от 270</v>
      </c>
    </row>
    <row r="248" spans="1:7">
      <c r="A248" s="263">
        <v>196</v>
      </c>
      <c r="B248" s="264">
        <v>126</v>
      </c>
      <c r="C248" s="264">
        <v>3</v>
      </c>
      <c r="D248" s="264" t="s">
        <v>35</v>
      </c>
      <c r="E248" s="264">
        <v>1100</v>
      </c>
      <c r="F248" s="264">
        <v>230</v>
      </c>
      <c r="G248" s="53" t="str">
        <f>VLOOKUP(B248,категория!A$2:B$14,2,FALSE)</f>
        <v>картон до 250</v>
      </c>
    </row>
    <row r="249" spans="1:7">
      <c r="A249" s="263">
        <v>197</v>
      </c>
      <c r="B249" s="264">
        <v>126</v>
      </c>
      <c r="C249" s="264">
        <v>1</v>
      </c>
      <c r="D249" s="264" t="s">
        <v>40</v>
      </c>
      <c r="E249" s="264">
        <v>715</v>
      </c>
      <c r="F249" s="264">
        <v>215</v>
      </c>
      <c r="G249" s="53" t="str">
        <f>VLOOKUP(B249,категория!A$2:B$14,2,FALSE)</f>
        <v>картон до 250</v>
      </c>
    </row>
    <row r="250" spans="1:7">
      <c r="A250" s="263">
        <v>198</v>
      </c>
      <c r="B250" s="264">
        <v>126</v>
      </c>
      <c r="C250" s="264">
        <v>1</v>
      </c>
      <c r="D250" s="264" t="s">
        <v>40</v>
      </c>
      <c r="E250" s="264">
        <v>556</v>
      </c>
      <c r="F250" s="264">
        <v>215</v>
      </c>
      <c r="G250" s="53" t="str">
        <f>VLOOKUP(B250,категория!A$2:B$14,2,FALSE)</f>
        <v>картон до 250</v>
      </c>
    </row>
    <row r="251" spans="1:7">
      <c r="A251" s="263">
        <v>201</v>
      </c>
      <c r="B251" s="264">
        <v>110</v>
      </c>
      <c r="C251" s="264">
        <v>1</v>
      </c>
      <c r="D251" s="264" t="s">
        <v>41</v>
      </c>
      <c r="E251" s="264">
        <v>100</v>
      </c>
      <c r="F251" s="264">
        <v>300</v>
      </c>
      <c r="G251" s="53" t="str">
        <f>VLOOKUP(B251,категория!A$2:B$14,2,FALSE)</f>
        <v>мел+офсет</v>
      </c>
    </row>
    <row r="252" spans="1:7">
      <c r="A252" s="263">
        <v>201</v>
      </c>
      <c r="B252" s="264">
        <v>118</v>
      </c>
      <c r="C252" s="264">
        <v>3</v>
      </c>
      <c r="D252" s="264" t="s">
        <v>38</v>
      </c>
      <c r="E252" s="264">
        <v>7500</v>
      </c>
      <c r="F252" s="264">
        <v>80</v>
      </c>
      <c r="G252" s="53" t="str">
        <f>VLOOKUP(B252,категория!A$2:B$14,2,FALSE)</f>
        <v>практика ч/б</v>
      </c>
    </row>
    <row r="253" spans="1:7">
      <c r="A253" s="263">
        <v>201</v>
      </c>
      <c r="B253" s="264">
        <v>110</v>
      </c>
      <c r="C253" s="264">
        <v>3</v>
      </c>
      <c r="D253" s="264" t="s">
        <v>38</v>
      </c>
      <c r="E253" s="264">
        <v>600</v>
      </c>
      <c r="F253" s="264">
        <v>80</v>
      </c>
      <c r="G253" s="53" t="str">
        <f>VLOOKUP(B253,категория!A$2:B$14,2,FALSE)</f>
        <v>мел+офсет</v>
      </c>
    </row>
    <row r="254" spans="1:7">
      <c r="A254" s="263">
        <v>201</v>
      </c>
      <c r="B254" s="264">
        <v>118</v>
      </c>
      <c r="C254" s="264">
        <v>2</v>
      </c>
      <c r="D254" s="264" t="s">
        <v>38</v>
      </c>
      <c r="E254" s="264">
        <v>150</v>
      </c>
      <c r="F254" s="264">
        <v>80</v>
      </c>
      <c r="G254" s="53" t="str">
        <f>VLOOKUP(B254,категория!A$2:B$14,2,FALSE)</f>
        <v>практика ч/б</v>
      </c>
    </row>
    <row r="255" spans="1:7">
      <c r="A255" s="263">
        <v>202</v>
      </c>
      <c r="B255" s="264">
        <v>122</v>
      </c>
      <c r="C255" s="264">
        <v>1</v>
      </c>
      <c r="D255" s="264" t="s">
        <v>41</v>
      </c>
      <c r="E255" s="264">
        <v>150</v>
      </c>
      <c r="F255" s="264">
        <v>250</v>
      </c>
      <c r="G255" s="53" t="e">
        <f>VLOOKUP(B255,категория!A$2:B$14,2,FALSE)</f>
        <v>#N/A</v>
      </c>
    </row>
    <row r="256" spans="1:7">
      <c r="A256" s="263">
        <v>203</v>
      </c>
      <c r="B256" s="264">
        <v>114</v>
      </c>
      <c r="C256" s="264">
        <v>1</v>
      </c>
      <c r="D256" s="264" t="s">
        <v>35</v>
      </c>
      <c r="E256" s="264">
        <v>100</v>
      </c>
      <c r="F256" s="264">
        <v>300</v>
      </c>
      <c r="G256" s="53" t="str">
        <f>VLOOKUP(B256,категория!A$2:B$14,2,FALSE)</f>
        <v>картон от 270</v>
      </c>
    </row>
    <row r="257" spans="1:7">
      <c r="A257" s="263">
        <v>207</v>
      </c>
      <c r="B257" s="264">
        <v>118</v>
      </c>
      <c r="C257" s="264">
        <v>1</v>
      </c>
      <c r="D257" s="264" t="s">
        <v>38</v>
      </c>
      <c r="E257" s="264">
        <v>100</v>
      </c>
      <c r="F257" s="264">
        <v>80</v>
      </c>
      <c r="G257" s="53" t="str">
        <f>VLOOKUP(B257,категория!A$2:B$14,2,FALSE)</f>
        <v>практика ч/б</v>
      </c>
    </row>
    <row r="258" spans="1:7">
      <c r="A258" s="263">
        <v>210</v>
      </c>
      <c r="B258" s="264">
        <v>118</v>
      </c>
      <c r="C258" s="264">
        <v>1</v>
      </c>
      <c r="D258" s="264" t="s">
        <v>149</v>
      </c>
      <c r="E258" s="264">
        <v>792</v>
      </c>
      <c r="F258" s="264">
        <v>45</v>
      </c>
      <c r="G258" s="53" t="str">
        <f>VLOOKUP(B258,категория!A$2:B$14,2,FALSE)</f>
        <v>практика ч/б</v>
      </c>
    </row>
    <row r="259" spans="1:7">
      <c r="A259" s="263">
        <v>211</v>
      </c>
      <c r="B259" s="264">
        <v>122</v>
      </c>
      <c r="C259" s="264">
        <v>1</v>
      </c>
      <c r="D259" s="264" t="s">
        <v>39</v>
      </c>
      <c r="E259" s="264">
        <v>30</v>
      </c>
      <c r="F259" s="264">
        <v>200</v>
      </c>
      <c r="G259" s="53" t="e">
        <f>VLOOKUP(B259,категория!A$2:B$14,2,FALSE)</f>
        <v>#N/A</v>
      </c>
    </row>
    <row r="260" spans="1:7">
      <c r="A260" s="263">
        <v>214</v>
      </c>
      <c r="B260" s="264">
        <v>126</v>
      </c>
      <c r="C260" s="264">
        <v>1</v>
      </c>
      <c r="D260" s="264" t="s">
        <v>35</v>
      </c>
      <c r="E260" s="264">
        <v>7500</v>
      </c>
      <c r="F260" s="264">
        <v>215</v>
      </c>
      <c r="G260" s="53" t="str">
        <f>VLOOKUP(B260,категория!A$2:B$14,2,FALSE)</f>
        <v>картон до 250</v>
      </c>
    </row>
    <row r="261" spans="1:7">
      <c r="A261" s="263">
        <v>214</v>
      </c>
      <c r="B261" s="264">
        <v>132</v>
      </c>
      <c r="C261" s="264">
        <v>1</v>
      </c>
      <c r="D261" s="264" t="s">
        <v>35</v>
      </c>
      <c r="E261" s="264">
        <v>7500</v>
      </c>
      <c r="F261" s="264"/>
      <c r="G261" s="53" t="str">
        <f>VLOOKUP(B261,категория!A$2:B$14,2,FALSE)</f>
        <v xml:space="preserve">лак </v>
      </c>
    </row>
    <row r="262" spans="1:7">
      <c r="A262" s="263">
        <v>215</v>
      </c>
      <c r="B262" s="264">
        <v>110</v>
      </c>
      <c r="C262" s="264">
        <v>1</v>
      </c>
      <c r="D262" s="264" t="s">
        <v>41</v>
      </c>
      <c r="E262" s="264">
        <v>1000</v>
      </c>
      <c r="F262" s="264">
        <v>300</v>
      </c>
      <c r="G262" s="53" t="str">
        <f>VLOOKUP(B262,категория!A$2:B$14,2,FALSE)</f>
        <v>мел+офсет</v>
      </c>
    </row>
    <row r="263" spans="1:7">
      <c r="A263" s="263">
        <v>217</v>
      </c>
      <c r="B263" s="264">
        <v>112</v>
      </c>
      <c r="C263" s="264">
        <v>1</v>
      </c>
      <c r="D263" s="264" t="s">
        <v>35</v>
      </c>
      <c r="E263" s="264">
        <v>1000</v>
      </c>
      <c r="F263" s="264"/>
      <c r="G263" s="53" t="str">
        <f>VLOOKUP(B263,категория!A$2:B$14,2,FALSE)</f>
        <v>мел+офсет</v>
      </c>
    </row>
    <row r="264" spans="1:7">
      <c r="A264" s="263">
        <v>218</v>
      </c>
      <c r="B264" s="264">
        <v>112</v>
      </c>
      <c r="C264" s="264">
        <v>1</v>
      </c>
      <c r="D264" s="264" t="s">
        <v>39</v>
      </c>
      <c r="E264" s="264">
        <v>2500</v>
      </c>
      <c r="F264" s="264">
        <v>210</v>
      </c>
      <c r="G264" s="53" t="str">
        <f>VLOOKUP(B264,категория!A$2:B$14,2,FALSE)</f>
        <v>мел+офсет</v>
      </c>
    </row>
    <row r="265" spans="1:7">
      <c r="A265" s="263">
        <v>219</v>
      </c>
      <c r="B265" s="264">
        <v>112</v>
      </c>
      <c r="C265" s="264">
        <v>1</v>
      </c>
      <c r="D265" s="264" t="s">
        <v>39</v>
      </c>
      <c r="E265" s="264">
        <v>1500</v>
      </c>
      <c r="F265" s="264">
        <v>210</v>
      </c>
      <c r="G265" s="53" t="str">
        <f>VLOOKUP(B265,категория!A$2:B$14,2,FALSE)</f>
        <v>мел+офсет</v>
      </c>
    </row>
    <row r="266" spans="1:7">
      <c r="A266" s="263">
        <v>220</v>
      </c>
      <c r="B266" s="264">
        <v>126</v>
      </c>
      <c r="C266" s="264">
        <v>1</v>
      </c>
      <c r="D266" s="264" t="s">
        <v>35</v>
      </c>
      <c r="E266" s="264">
        <v>1000</v>
      </c>
      <c r="F266" s="264">
        <v>250</v>
      </c>
      <c r="G266" s="53" t="str">
        <f>VLOOKUP(B266,категория!A$2:B$14,2,FALSE)</f>
        <v>картон до 250</v>
      </c>
    </row>
    <row r="267" spans="1:7">
      <c r="A267" s="263">
        <v>220</v>
      </c>
      <c r="B267" s="264">
        <v>132</v>
      </c>
      <c r="C267" s="264">
        <v>1</v>
      </c>
      <c r="D267" s="264" t="s">
        <v>35</v>
      </c>
      <c r="E267" s="264">
        <v>1000</v>
      </c>
      <c r="F267" s="264">
        <v>0</v>
      </c>
      <c r="G267" s="53" t="str">
        <f>VLOOKUP(B267,категория!A$2:B$14,2,FALSE)</f>
        <v xml:space="preserve">лак </v>
      </c>
    </row>
    <row r="268" spans="1:7">
      <c r="A268" s="263">
        <v>221</v>
      </c>
      <c r="B268" s="264">
        <v>126</v>
      </c>
      <c r="C268" s="264">
        <v>1</v>
      </c>
      <c r="D268" s="264" t="s">
        <v>35</v>
      </c>
      <c r="E268" s="264">
        <v>5000</v>
      </c>
      <c r="F268" s="264">
        <v>215</v>
      </c>
      <c r="G268" s="53" t="str">
        <f>VLOOKUP(B268,категория!A$2:B$14,2,FALSE)</f>
        <v>картон до 250</v>
      </c>
    </row>
    <row r="269" spans="1:7">
      <c r="A269" s="263">
        <v>221</v>
      </c>
      <c r="B269" s="264">
        <v>131</v>
      </c>
      <c r="C269" s="264">
        <v>1</v>
      </c>
      <c r="D269" s="264" t="s">
        <v>51</v>
      </c>
      <c r="E269" s="264">
        <v>5000</v>
      </c>
      <c r="F269" s="264">
        <v>300</v>
      </c>
      <c r="G269" s="53" t="e">
        <f>VLOOKUP(B269,категория!A$2:B$14,2,FALSE)</f>
        <v>#N/A</v>
      </c>
    </row>
    <row r="270" spans="1:7">
      <c r="A270" s="263">
        <v>222</v>
      </c>
      <c r="B270" s="264">
        <v>126</v>
      </c>
      <c r="C270" s="264">
        <v>1</v>
      </c>
      <c r="D270" s="264" t="s">
        <v>35</v>
      </c>
      <c r="E270" s="264">
        <v>300</v>
      </c>
      <c r="F270" s="264">
        <v>250</v>
      </c>
      <c r="G270" s="53" t="str">
        <f>VLOOKUP(B270,категория!A$2:B$14,2,FALSE)</f>
        <v>картон до 250</v>
      </c>
    </row>
    <row r="271" spans="1:7">
      <c r="A271" s="263">
        <v>224</v>
      </c>
      <c r="B271" s="264">
        <v>112</v>
      </c>
      <c r="C271" s="264">
        <v>6</v>
      </c>
      <c r="D271" s="264" t="s">
        <v>38</v>
      </c>
      <c r="E271" s="264">
        <v>3125</v>
      </c>
      <c r="F271" s="264">
        <v>100</v>
      </c>
      <c r="G271" s="53" t="str">
        <f>VLOOKUP(B271,категория!A$2:B$14,2,FALSE)</f>
        <v>мел+офсет</v>
      </c>
    </row>
    <row r="272" spans="1:7">
      <c r="A272" s="263">
        <v>224</v>
      </c>
      <c r="B272" s="264">
        <v>131</v>
      </c>
      <c r="C272" s="264">
        <v>1</v>
      </c>
      <c r="D272" s="264" t="s">
        <v>40</v>
      </c>
      <c r="E272" s="264">
        <v>63</v>
      </c>
      <c r="F272" s="264">
        <v>215</v>
      </c>
      <c r="G272" s="53" t="e">
        <f>VLOOKUP(B272,категория!A$2:B$14,2,FALSE)</f>
        <v>#N/A</v>
      </c>
    </row>
    <row r="273" spans="1:7">
      <c r="A273" s="263">
        <v>225</v>
      </c>
      <c r="B273" s="264">
        <v>122</v>
      </c>
      <c r="C273" s="264">
        <v>3</v>
      </c>
      <c r="D273" s="264" t="s">
        <v>207</v>
      </c>
      <c r="E273" s="264">
        <v>33</v>
      </c>
      <c r="F273" s="264">
        <v>350</v>
      </c>
      <c r="G273" s="53" t="e">
        <f>VLOOKUP(B273,категория!A$2:B$14,2,FALSE)</f>
        <v>#N/A</v>
      </c>
    </row>
    <row r="274" spans="1:7">
      <c r="A274" s="263">
        <v>225</v>
      </c>
      <c r="B274" s="264">
        <v>122</v>
      </c>
      <c r="C274" s="264">
        <v>1</v>
      </c>
      <c r="D274" s="264" t="s">
        <v>207</v>
      </c>
      <c r="E274" s="264">
        <v>2</v>
      </c>
      <c r="F274" s="264">
        <v>350</v>
      </c>
      <c r="G274" s="53" t="e">
        <f>VLOOKUP(B274,категория!A$2:B$14,2,FALSE)</f>
        <v>#N/A</v>
      </c>
    </row>
    <row r="275" spans="1:7">
      <c r="A275" s="263">
        <v>226</v>
      </c>
      <c r="B275" s="264">
        <v>122</v>
      </c>
      <c r="C275" s="264">
        <v>3</v>
      </c>
      <c r="D275" s="264" t="s">
        <v>207</v>
      </c>
      <c r="E275" s="264">
        <v>110</v>
      </c>
      <c r="F275" s="264">
        <v>350</v>
      </c>
      <c r="G275" s="53" t="e">
        <f>VLOOKUP(B275,категория!A$2:B$14,2,FALSE)</f>
        <v>#N/A</v>
      </c>
    </row>
    <row r="276" spans="1:7">
      <c r="A276" s="263">
        <v>226</v>
      </c>
      <c r="B276" s="264">
        <v>122</v>
      </c>
      <c r="C276" s="264">
        <v>1</v>
      </c>
      <c r="D276" s="264" t="s">
        <v>207</v>
      </c>
      <c r="E276" s="264">
        <v>5</v>
      </c>
      <c r="F276" s="264">
        <v>350</v>
      </c>
      <c r="G276" s="53" t="e">
        <f>VLOOKUP(B276,категория!A$2:B$14,2,FALSE)</f>
        <v>#N/A</v>
      </c>
    </row>
    <row r="277" spans="1:7">
      <c r="A277" s="263">
        <v>227</v>
      </c>
      <c r="B277" s="264">
        <v>114</v>
      </c>
      <c r="C277" s="264">
        <v>1</v>
      </c>
      <c r="D277" s="264" t="s">
        <v>35</v>
      </c>
      <c r="E277" s="264">
        <v>5000</v>
      </c>
      <c r="F277" s="264">
        <v>300</v>
      </c>
      <c r="G277" s="53" t="str">
        <f>VLOOKUP(B277,категория!A$2:B$14,2,FALSE)</f>
        <v>картон от 270</v>
      </c>
    </row>
    <row r="278" spans="1:7">
      <c r="A278" s="263">
        <v>227</v>
      </c>
      <c r="B278" s="264">
        <v>132</v>
      </c>
      <c r="C278" s="264">
        <v>1</v>
      </c>
      <c r="D278" s="264" t="s">
        <v>35</v>
      </c>
      <c r="E278" s="264">
        <v>5000</v>
      </c>
      <c r="F278" s="264">
        <v>0</v>
      </c>
      <c r="G278" s="53" t="str">
        <f>VLOOKUP(B278,категория!A$2:B$14,2,FALSE)</f>
        <v xml:space="preserve">лак </v>
      </c>
    </row>
    <row r="279" spans="1:7">
      <c r="A279" s="263">
        <v>229</v>
      </c>
      <c r="B279" s="264">
        <v>112</v>
      </c>
      <c r="C279" s="264">
        <v>1</v>
      </c>
      <c r="D279" s="264" t="s">
        <v>41</v>
      </c>
      <c r="E279" s="264">
        <v>2000</v>
      </c>
      <c r="F279" s="264">
        <v>150</v>
      </c>
      <c r="G279" s="53" t="str">
        <f>VLOOKUP(B279,категория!A$2:B$14,2,FALSE)</f>
        <v>мел+офсет</v>
      </c>
    </row>
    <row r="280" spans="1:7">
      <c r="A280" s="263">
        <v>230</v>
      </c>
      <c r="B280" s="264">
        <v>114</v>
      </c>
      <c r="C280" s="264">
        <v>2</v>
      </c>
      <c r="D280" s="264" t="s">
        <v>53</v>
      </c>
      <c r="E280" s="264">
        <v>167</v>
      </c>
      <c r="F280" s="264">
        <v>270</v>
      </c>
      <c r="G280" s="53" t="str">
        <f>VLOOKUP(B280,категория!A$2:B$14,2,FALSE)</f>
        <v>картон от 270</v>
      </c>
    </row>
    <row r="281" spans="1:7">
      <c r="A281" s="263">
        <v>239</v>
      </c>
      <c r="B281" s="264">
        <v>112</v>
      </c>
      <c r="C281" s="264">
        <v>1</v>
      </c>
      <c r="D281" s="264" t="s">
        <v>353</v>
      </c>
      <c r="E281" s="264">
        <v>3500</v>
      </c>
      <c r="F281" s="264">
        <v>420</v>
      </c>
      <c r="G281" s="53" t="str">
        <f>VLOOKUP(B281,категория!A$2:B$14,2,FALSE)</f>
        <v>мел+офсет</v>
      </c>
    </row>
    <row r="282" spans="1:7">
      <c r="A282" s="263">
        <v>242</v>
      </c>
      <c r="B282" s="264">
        <v>114</v>
      </c>
      <c r="C282" s="264">
        <v>1</v>
      </c>
      <c r="D282" s="264" t="s">
        <v>40</v>
      </c>
      <c r="E282" s="264">
        <v>1000</v>
      </c>
      <c r="F282" s="264">
        <v>325</v>
      </c>
      <c r="G282" s="53" t="str">
        <f>VLOOKUP(B282,категория!A$2:B$14,2,FALSE)</f>
        <v>картон от 270</v>
      </c>
    </row>
    <row r="283" spans="1:7">
      <c r="A283" s="263">
        <v>242</v>
      </c>
      <c r="B283" s="264">
        <v>131</v>
      </c>
      <c r="C283" s="264">
        <v>1</v>
      </c>
      <c r="D283" s="264" t="s">
        <v>52</v>
      </c>
      <c r="E283" s="264">
        <v>100</v>
      </c>
      <c r="F283" s="264">
        <v>200</v>
      </c>
      <c r="G283" s="53" t="e">
        <f>VLOOKUP(B283,категория!A$2:B$14,2,FALSE)</f>
        <v>#N/A</v>
      </c>
    </row>
    <row r="284" spans="1:7">
      <c r="A284" s="263">
        <v>245</v>
      </c>
      <c r="B284" s="264">
        <v>126</v>
      </c>
      <c r="C284" s="264">
        <v>1</v>
      </c>
      <c r="D284" s="264" t="s">
        <v>42</v>
      </c>
      <c r="E284" s="264">
        <v>1875</v>
      </c>
      <c r="F284" s="264">
        <v>235</v>
      </c>
      <c r="G284" s="53" t="str">
        <f>VLOOKUP(B284,категория!A$2:B$14,2,FALSE)</f>
        <v>картон до 250</v>
      </c>
    </row>
    <row r="285" spans="1:7">
      <c r="A285" s="263">
        <v>246</v>
      </c>
      <c r="B285" s="264">
        <v>126</v>
      </c>
      <c r="C285" s="264">
        <v>1</v>
      </c>
      <c r="D285" s="264" t="s">
        <v>319</v>
      </c>
      <c r="E285" s="264">
        <v>73334</v>
      </c>
      <c r="F285" s="264">
        <v>230</v>
      </c>
      <c r="G285" s="53" t="str">
        <f>VLOOKUP(B285,категория!A$2:B$14,2,FALSE)</f>
        <v>картон до 250</v>
      </c>
    </row>
    <row r="286" spans="1:7">
      <c r="A286" s="263">
        <v>250</v>
      </c>
      <c r="B286" s="264">
        <v>118</v>
      </c>
      <c r="C286" s="264">
        <v>1</v>
      </c>
      <c r="D286" s="264" t="s">
        <v>206</v>
      </c>
      <c r="E286" s="264">
        <v>369</v>
      </c>
      <c r="F286" s="264">
        <v>235</v>
      </c>
      <c r="G286" s="53" t="str">
        <f>VLOOKUP(B286,категория!A$2:B$14,2,FALSE)</f>
        <v>практика ч/б</v>
      </c>
    </row>
    <row r="287" spans="1:7">
      <c r="A287" s="263">
        <v>251</v>
      </c>
      <c r="B287" s="264">
        <v>131</v>
      </c>
      <c r="C287" s="264">
        <v>1</v>
      </c>
      <c r="D287" s="264" t="s">
        <v>206</v>
      </c>
      <c r="E287" s="264">
        <v>1000</v>
      </c>
      <c r="F287" s="264">
        <v>235</v>
      </c>
      <c r="G287" s="53" t="e">
        <f>VLOOKUP(B287,категория!A$2:B$14,2,FALSE)</f>
        <v>#N/A</v>
      </c>
    </row>
    <row r="288" spans="1:7">
      <c r="A288" s="263">
        <v>252</v>
      </c>
      <c r="B288" s="264">
        <v>114</v>
      </c>
      <c r="C288" s="264">
        <v>3</v>
      </c>
      <c r="D288" s="264" t="s">
        <v>40</v>
      </c>
      <c r="E288" s="264">
        <v>5300</v>
      </c>
      <c r="F288" s="264">
        <v>230</v>
      </c>
      <c r="G288" s="53" t="str">
        <f>VLOOKUP(B288,категория!A$2:B$14,2,FALSE)</f>
        <v>картон от 270</v>
      </c>
    </row>
    <row r="289" spans="1:7">
      <c r="A289" s="263">
        <v>253</v>
      </c>
      <c r="B289" s="264">
        <v>114</v>
      </c>
      <c r="C289" s="264">
        <v>3</v>
      </c>
      <c r="D289" s="264" t="s">
        <v>40</v>
      </c>
      <c r="E289" s="264">
        <v>10500</v>
      </c>
      <c r="F289" s="264">
        <v>325</v>
      </c>
      <c r="G289" s="53" t="str">
        <f>VLOOKUP(B289,категория!A$2:B$14,2,FALSE)</f>
        <v>картон от 270</v>
      </c>
    </row>
    <row r="290" spans="1:7">
      <c r="A290" s="263">
        <v>254</v>
      </c>
      <c r="B290" s="264">
        <v>114</v>
      </c>
      <c r="C290" s="264">
        <v>3</v>
      </c>
      <c r="D290" s="264" t="s">
        <v>40</v>
      </c>
      <c r="E290" s="264">
        <v>2700</v>
      </c>
      <c r="F290" s="264">
        <v>325</v>
      </c>
      <c r="G290" s="53" t="str">
        <f>VLOOKUP(B290,категория!A$2:B$14,2,FALSE)</f>
        <v>картон от 270</v>
      </c>
    </row>
    <row r="291" spans="1:7">
      <c r="A291" s="263">
        <v>255</v>
      </c>
      <c r="B291" s="264">
        <v>112</v>
      </c>
      <c r="C291" s="264">
        <v>1</v>
      </c>
      <c r="D291" s="264" t="s">
        <v>53</v>
      </c>
      <c r="E291" s="264">
        <v>2000</v>
      </c>
      <c r="F291" s="264">
        <v>300</v>
      </c>
      <c r="G291" s="53" t="str">
        <f>VLOOKUP(B291,категория!A$2:B$14,2,FALSE)</f>
        <v>мел+офсет</v>
      </c>
    </row>
    <row r="292" spans="1:7">
      <c r="A292" s="263">
        <v>258</v>
      </c>
      <c r="B292" s="264">
        <v>110</v>
      </c>
      <c r="C292" s="264">
        <v>6</v>
      </c>
      <c r="D292" s="264" t="s">
        <v>38</v>
      </c>
      <c r="E292" s="264">
        <v>1050</v>
      </c>
      <c r="F292" s="264">
        <v>80</v>
      </c>
      <c r="G292" s="53" t="str">
        <f>VLOOKUP(B292,категория!A$2:B$14,2,FALSE)</f>
        <v>мел+офсет</v>
      </c>
    </row>
    <row r="293" spans="1:7">
      <c r="A293" s="263">
        <v>258</v>
      </c>
      <c r="B293" s="264">
        <v>131</v>
      </c>
      <c r="C293" s="264">
        <v>1</v>
      </c>
      <c r="D293" s="264" t="s">
        <v>40</v>
      </c>
      <c r="E293" s="264">
        <v>35</v>
      </c>
      <c r="F293" s="264">
        <v>250</v>
      </c>
      <c r="G293" s="53" t="e">
        <f>VLOOKUP(B293,категория!A$2:B$14,2,FALSE)</f>
        <v>#N/A</v>
      </c>
    </row>
    <row r="294" spans="1:7">
      <c r="A294" s="263">
        <v>259</v>
      </c>
      <c r="B294" s="264">
        <v>126</v>
      </c>
      <c r="C294" s="264">
        <v>1</v>
      </c>
      <c r="D294" s="264" t="s">
        <v>35</v>
      </c>
      <c r="E294" s="264">
        <v>2000</v>
      </c>
      <c r="F294" s="264">
        <v>210</v>
      </c>
      <c r="G294" s="53" t="str">
        <f>VLOOKUP(B294,категория!A$2:B$14,2,FALSE)</f>
        <v>картон до 250</v>
      </c>
    </row>
    <row r="295" spans="1:7">
      <c r="A295" s="263">
        <v>260</v>
      </c>
      <c r="B295" s="264">
        <v>133</v>
      </c>
      <c r="C295" s="264">
        <v>1</v>
      </c>
      <c r="D295" s="264" t="s">
        <v>40</v>
      </c>
      <c r="E295" s="264">
        <v>750</v>
      </c>
      <c r="F295" s="264">
        <v>295</v>
      </c>
      <c r="G295" s="53" t="str">
        <f>VLOOKUP(B295,категория!A$2:B$14,2,FALSE)</f>
        <v>картон от 270</v>
      </c>
    </row>
    <row r="296" spans="1:7">
      <c r="A296" s="263">
        <v>262</v>
      </c>
      <c r="B296" s="264">
        <v>133</v>
      </c>
      <c r="C296" s="264">
        <v>1</v>
      </c>
      <c r="D296" s="264" t="s">
        <v>40</v>
      </c>
      <c r="E296" s="264">
        <v>1500</v>
      </c>
      <c r="F296" s="264">
        <v>270</v>
      </c>
      <c r="G296" s="53" t="str">
        <f>VLOOKUP(B296,категория!A$2:B$14,2,FALSE)</f>
        <v>картон от 270</v>
      </c>
    </row>
    <row r="297" spans="1:7">
      <c r="A297" s="263">
        <v>262</v>
      </c>
      <c r="B297" s="264">
        <v>132</v>
      </c>
      <c r="C297" s="264">
        <v>1</v>
      </c>
      <c r="D297" s="264" t="s">
        <v>40</v>
      </c>
      <c r="E297" s="264">
        <v>1500</v>
      </c>
      <c r="F297" s="264">
        <v>0</v>
      </c>
      <c r="G297" s="53" t="str">
        <f>VLOOKUP(B297,категория!A$2:B$14,2,FALSE)</f>
        <v xml:space="preserve">лак </v>
      </c>
    </row>
    <row r="298" spans="1:7">
      <c r="A298" s="263">
        <v>263</v>
      </c>
      <c r="B298" s="264">
        <v>131</v>
      </c>
      <c r="C298" s="264">
        <v>1</v>
      </c>
      <c r="D298" s="264" t="s">
        <v>40</v>
      </c>
      <c r="E298" s="264">
        <v>322</v>
      </c>
      <c r="F298" s="264">
        <v>295</v>
      </c>
      <c r="G298" s="53" t="e">
        <f>VLOOKUP(B298,категория!A$2:B$14,2,FALSE)</f>
        <v>#N/A</v>
      </c>
    </row>
    <row r="299" spans="1:7">
      <c r="A299" s="263">
        <v>265</v>
      </c>
      <c r="B299" s="264">
        <v>123</v>
      </c>
      <c r="C299" s="264">
        <v>1</v>
      </c>
      <c r="D299" s="264" t="s">
        <v>48</v>
      </c>
      <c r="E299" s="264">
        <v>51</v>
      </c>
      <c r="F299" s="264">
        <v>300</v>
      </c>
      <c r="G299" s="53" t="e">
        <f>VLOOKUP(B299,категория!A$2:B$14,2,FALSE)</f>
        <v>#N/A</v>
      </c>
    </row>
    <row r="300" spans="1:7">
      <c r="A300" s="263">
        <v>266</v>
      </c>
      <c r="B300" s="264">
        <v>112</v>
      </c>
      <c r="C300" s="264">
        <v>1</v>
      </c>
      <c r="D300" s="264" t="s">
        <v>354</v>
      </c>
      <c r="E300" s="264">
        <v>1000</v>
      </c>
      <c r="F300" s="264">
        <v>300</v>
      </c>
      <c r="G300" s="53" t="str">
        <f>VLOOKUP(B300,категория!A$2:B$14,2,FALSE)</f>
        <v>мел+офсет</v>
      </c>
    </row>
    <row r="301" spans="1:7">
      <c r="A301" s="263">
        <v>267</v>
      </c>
      <c r="B301" s="264">
        <v>112</v>
      </c>
      <c r="C301" s="264">
        <v>1</v>
      </c>
      <c r="D301" s="264" t="s">
        <v>51</v>
      </c>
      <c r="E301" s="264">
        <v>134</v>
      </c>
      <c r="F301" s="264">
        <v>300</v>
      </c>
      <c r="G301" s="53" t="str">
        <f>VLOOKUP(B301,категория!A$2:B$14,2,FALSE)</f>
        <v>мел+офсет</v>
      </c>
    </row>
    <row r="302" spans="1:7">
      <c r="A302" s="263">
        <v>274</v>
      </c>
      <c r="B302" s="264">
        <v>110</v>
      </c>
      <c r="C302" s="264">
        <v>1</v>
      </c>
      <c r="D302" s="264" t="s">
        <v>41</v>
      </c>
      <c r="E302" s="264">
        <v>625</v>
      </c>
      <c r="F302" s="264">
        <v>250</v>
      </c>
      <c r="G302" s="53" t="str">
        <f>VLOOKUP(B302,категория!A$2:B$14,2,FALSE)</f>
        <v>мел+офсет</v>
      </c>
    </row>
    <row r="303" spans="1:7">
      <c r="A303" s="263">
        <v>278</v>
      </c>
      <c r="B303" s="264">
        <v>110</v>
      </c>
      <c r="C303" s="264">
        <v>1</v>
      </c>
      <c r="D303" s="264" t="s">
        <v>42</v>
      </c>
      <c r="E303" s="264">
        <v>2113</v>
      </c>
      <c r="F303" s="264">
        <v>235</v>
      </c>
      <c r="G303" s="53" t="str">
        <f>VLOOKUP(B303,категория!A$2:B$14,2,FALSE)</f>
        <v>мел+офсет</v>
      </c>
    </row>
    <row r="304" spans="1:7">
      <c r="A304" s="263">
        <v>279</v>
      </c>
      <c r="B304" s="264">
        <v>114</v>
      </c>
      <c r="C304" s="264">
        <v>1</v>
      </c>
      <c r="D304" s="264" t="s">
        <v>35</v>
      </c>
      <c r="E304" s="264">
        <v>93</v>
      </c>
      <c r="F304" s="264">
        <v>300</v>
      </c>
      <c r="G304" s="53" t="str">
        <f>VLOOKUP(B304,категория!A$2:B$14,2,FALSE)</f>
        <v>картон от 270</v>
      </c>
    </row>
    <row r="305" spans="1:7">
      <c r="A305" s="263">
        <v>281</v>
      </c>
      <c r="B305" s="264">
        <v>114</v>
      </c>
      <c r="C305" s="264">
        <v>1</v>
      </c>
      <c r="D305" s="264" t="s">
        <v>40</v>
      </c>
      <c r="E305" s="264">
        <v>500</v>
      </c>
      <c r="F305" s="264">
        <v>295</v>
      </c>
      <c r="G305" s="53" t="str">
        <f>VLOOKUP(B305,категория!A$2:B$14,2,FALSE)</f>
        <v>картон от 270</v>
      </c>
    </row>
    <row r="306" spans="1:7">
      <c r="A306" s="263">
        <v>282</v>
      </c>
      <c r="B306" s="264">
        <v>114</v>
      </c>
      <c r="C306" s="264">
        <v>1</v>
      </c>
      <c r="D306" s="264" t="s">
        <v>35</v>
      </c>
      <c r="E306" s="264">
        <v>750</v>
      </c>
      <c r="F306" s="264">
        <v>270</v>
      </c>
      <c r="G306" s="53" t="str">
        <f>VLOOKUP(B306,категория!A$2:B$14,2,FALSE)</f>
        <v>картон от 270</v>
      </c>
    </row>
    <row r="307" spans="1:7">
      <c r="A307" s="263">
        <v>287</v>
      </c>
      <c r="B307" s="264">
        <v>126</v>
      </c>
      <c r="C307" s="264">
        <v>1</v>
      </c>
      <c r="D307" s="264" t="s">
        <v>35</v>
      </c>
      <c r="E307" s="264">
        <v>2000</v>
      </c>
      <c r="F307" s="264">
        <v>230</v>
      </c>
      <c r="G307" s="53" t="str">
        <f>VLOOKUP(B307,категория!A$2:B$14,2,FALSE)</f>
        <v>картон до 250</v>
      </c>
    </row>
    <row r="308" spans="1:7">
      <c r="A308" s="263">
        <v>287</v>
      </c>
      <c r="B308" s="264">
        <v>132</v>
      </c>
      <c r="C308" s="264">
        <v>1</v>
      </c>
      <c r="D308" s="264" t="s">
        <v>35</v>
      </c>
      <c r="E308" s="264">
        <v>2000</v>
      </c>
      <c r="F308" s="264">
        <v>0</v>
      </c>
      <c r="G308" s="53" t="str">
        <f>VLOOKUP(B308,категория!A$2:B$14,2,FALSE)</f>
        <v xml:space="preserve">лак </v>
      </c>
    </row>
    <row r="309" spans="1:7">
      <c r="A309" s="263">
        <v>290</v>
      </c>
      <c r="B309" s="264">
        <v>112</v>
      </c>
      <c r="C309" s="264">
        <v>1</v>
      </c>
      <c r="D309" s="264" t="s">
        <v>355</v>
      </c>
      <c r="E309" s="264">
        <v>2500</v>
      </c>
      <c r="F309" s="264">
        <v>250</v>
      </c>
      <c r="G309" s="53" t="str">
        <f>VLOOKUP(B309,категория!A$2:B$14,2,FALSE)</f>
        <v>мел+офсет</v>
      </c>
    </row>
    <row r="310" spans="1:7">
      <c r="A310" s="263">
        <v>290</v>
      </c>
      <c r="B310" s="264">
        <v>112</v>
      </c>
      <c r="C310" s="264">
        <v>1</v>
      </c>
      <c r="D310" s="264" t="s">
        <v>355</v>
      </c>
      <c r="E310" s="264">
        <v>2500</v>
      </c>
      <c r="F310" s="264">
        <v>250</v>
      </c>
      <c r="G310" s="53" t="str">
        <f>VLOOKUP(B310,категория!A$2:B$14,2,FALSE)</f>
        <v>мел+офсет</v>
      </c>
    </row>
    <row r="311" spans="1:7">
      <c r="A311" s="263">
        <v>291</v>
      </c>
      <c r="B311" s="264">
        <v>126</v>
      </c>
      <c r="C311" s="264">
        <v>1</v>
      </c>
      <c r="D311" s="264" t="s">
        <v>355</v>
      </c>
      <c r="E311" s="264">
        <v>1167</v>
      </c>
      <c r="F311" s="264">
        <v>200</v>
      </c>
      <c r="G311" s="53" t="str">
        <f>VLOOKUP(B311,категория!A$2:B$14,2,FALSE)</f>
        <v>картон до 250</v>
      </c>
    </row>
    <row r="312" spans="1:7">
      <c r="A312" s="263">
        <v>291</v>
      </c>
      <c r="B312" s="264">
        <v>126</v>
      </c>
      <c r="C312" s="264">
        <v>1</v>
      </c>
      <c r="D312" s="264" t="s">
        <v>355</v>
      </c>
      <c r="E312" s="264">
        <v>1750</v>
      </c>
      <c r="F312" s="264">
        <v>235</v>
      </c>
      <c r="G312" s="53" t="str">
        <f>VLOOKUP(B312,категория!A$2:B$14,2,FALSE)</f>
        <v>картон до 250</v>
      </c>
    </row>
    <row r="313" spans="1:7">
      <c r="A313" s="263">
        <v>292</v>
      </c>
      <c r="B313" s="264">
        <v>126</v>
      </c>
      <c r="C313" s="264">
        <v>1</v>
      </c>
      <c r="D313" s="264" t="s">
        <v>355</v>
      </c>
      <c r="E313" s="264">
        <v>750</v>
      </c>
      <c r="F313" s="264">
        <v>235</v>
      </c>
      <c r="G313" s="53" t="str">
        <f>VLOOKUP(B313,категория!A$2:B$14,2,FALSE)</f>
        <v>картон до 250</v>
      </c>
    </row>
    <row r="314" spans="1:7">
      <c r="A314" s="263">
        <v>292</v>
      </c>
      <c r="B314" s="264">
        <v>110</v>
      </c>
      <c r="C314" s="264">
        <v>1</v>
      </c>
      <c r="D314" s="264" t="s">
        <v>355</v>
      </c>
      <c r="E314" s="264">
        <v>750</v>
      </c>
      <c r="F314" s="264">
        <v>235</v>
      </c>
      <c r="G314" s="53" t="str">
        <f>VLOOKUP(B314,категория!A$2:B$14,2,FALSE)</f>
        <v>мел+офсет</v>
      </c>
    </row>
    <row r="315" spans="1:7">
      <c r="A315" s="263">
        <v>293</v>
      </c>
      <c r="B315" s="264">
        <v>112</v>
      </c>
      <c r="C315" s="264">
        <v>1</v>
      </c>
      <c r="D315" s="264" t="s">
        <v>355</v>
      </c>
      <c r="E315" s="264">
        <v>1500</v>
      </c>
      <c r="F315" s="264">
        <v>235</v>
      </c>
      <c r="G315" s="53" t="str">
        <f>VLOOKUP(B315,категория!A$2:B$14,2,FALSE)</f>
        <v>мел+офсет</v>
      </c>
    </row>
    <row r="316" spans="1:7">
      <c r="A316" s="263">
        <v>293</v>
      </c>
      <c r="B316" s="264">
        <v>112</v>
      </c>
      <c r="C316" s="264">
        <v>1</v>
      </c>
      <c r="D316" s="264" t="s">
        <v>355</v>
      </c>
      <c r="E316" s="264">
        <v>750</v>
      </c>
      <c r="F316" s="264">
        <v>235</v>
      </c>
      <c r="G316" s="53" t="str">
        <f>VLOOKUP(B316,категория!A$2:B$14,2,FALSE)</f>
        <v>мел+офсет</v>
      </c>
    </row>
    <row r="317" spans="1:7">
      <c r="A317" s="263">
        <v>294</v>
      </c>
      <c r="B317" s="264">
        <v>122</v>
      </c>
      <c r="C317" s="264">
        <v>1</v>
      </c>
      <c r="D317" s="264" t="s">
        <v>326</v>
      </c>
      <c r="E317" s="264">
        <v>150</v>
      </c>
      <c r="F317" s="264">
        <v>300</v>
      </c>
      <c r="G317" s="53" t="e">
        <f>VLOOKUP(B317,категория!A$2:B$14,2,FALSE)</f>
        <v>#N/A</v>
      </c>
    </row>
    <row r="318" spans="1:7">
      <c r="A318" s="263">
        <v>295</v>
      </c>
      <c r="B318" s="264">
        <v>110</v>
      </c>
      <c r="C318" s="264">
        <v>1</v>
      </c>
      <c r="D318" s="264" t="s">
        <v>355</v>
      </c>
      <c r="E318" s="264">
        <v>1250</v>
      </c>
      <c r="F318" s="264">
        <v>250</v>
      </c>
      <c r="G318" s="53" t="str">
        <f>VLOOKUP(B318,категория!A$2:B$14,2,FALSE)</f>
        <v>мел+офсет</v>
      </c>
    </row>
    <row r="319" spans="1:7">
      <c r="A319" s="263">
        <v>295</v>
      </c>
      <c r="B319" s="264">
        <v>131</v>
      </c>
      <c r="C319" s="264">
        <v>1</v>
      </c>
      <c r="D319" s="264" t="s">
        <v>355</v>
      </c>
      <c r="E319" s="264">
        <v>1250</v>
      </c>
      <c r="F319" s="264">
        <v>250</v>
      </c>
      <c r="G319" s="53" t="e">
        <f>VLOOKUP(B319,категория!A$2:B$14,2,FALSE)</f>
        <v>#N/A</v>
      </c>
    </row>
    <row r="320" spans="1:7">
      <c r="A320" s="263">
        <v>297</v>
      </c>
      <c r="B320" s="264">
        <v>118</v>
      </c>
      <c r="C320" s="264">
        <v>1</v>
      </c>
      <c r="D320" s="264" t="s">
        <v>38</v>
      </c>
      <c r="E320" s="264">
        <v>1250</v>
      </c>
      <c r="F320" s="264">
        <v>55</v>
      </c>
      <c r="G320" s="53" t="str">
        <f>VLOOKUP(B320,категория!A$2:B$14,2,FALSE)</f>
        <v>практика ч/б</v>
      </c>
    </row>
    <row r="321" spans="1:7">
      <c r="A321" s="263">
        <v>298</v>
      </c>
      <c r="B321" s="264">
        <v>118</v>
      </c>
      <c r="C321" s="264">
        <v>1</v>
      </c>
      <c r="D321" s="264" t="s">
        <v>38</v>
      </c>
      <c r="E321" s="264">
        <v>5000</v>
      </c>
      <c r="F321" s="264">
        <v>55</v>
      </c>
      <c r="G321" s="53" t="str">
        <f>VLOOKUP(B321,категория!A$2:B$14,2,FALSE)</f>
        <v>практика ч/б</v>
      </c>
    </row>
    <row r="322" spans="1:7">
      <c r="A322" s="263">
        <v>300</v>
      </c>
      <c r="B322" s="264">
        <v>118</v>
      </c>
      <c r="C322" s="264">
        <v>1</v>
      </c>
      <c r="D322" s="264" t="s">
        <v>41</v>
      </c>
      <c r="E322" s="264">
        <v>50</v>
      </c>
      <c r="F322" s="264">
        <v>350</v>
      </c>
      <c r="G322" s="53" t="str">
        <f>VLOOKUP(B322,категория!A$2:B$14,2,FALSE)</f>
        <v>практика ч/б</v>
      </c>
    </row>
    <row r="323" spans="1:7">
      <c r="A323" s="263">
        <v>300</v>
      </c>
      <c r="B323" s="264">
        <v>118</v>
      </c>
      <c r="C323" s="264">
        <v>6</v>
      </c>
      <c r="D323" s="264" t="s">
        <v>38</v>
      </c>
      <c r="E323" s="264">
        <v>1200</v>
      </c>
      <c r="F323" s="264">
        <v>70</v>
      </c>
      <c r="G323" s="53" t="str">
        <f>VLOOKUP(B323,категория!A$2:B$14,2,FALSE)</f>
        <v>практика ч/б</v>
      </c>
    </row>
    <row r="324" spans="1:7">
      <c r="A324" s="263">
        <v>300</v>
      </c>
      <c r="B324" s="264">
        <v>118</v>
      </c>
      <c r="C324" s="264">
        <v>1</v>
      </c>
      <c r="D324" s="264" t="s">
        <v>38</v>
      </c>
      <c r="E324" s="264">
        <v>50</v>
      </c>
      <c r="F324" s="264">
        <v>70</v>
      </c>
      <c r="G324" s="53" t="str">
        <f>VLOOKUP(B324,категория!A$2:B$14,2,FALSE)</f>
        <v>практика ч/б</v>
      </c>
    </row>
    <row r="325" spans="1:7">
      <c r="A325" s="263">
        <v>300</v>
      </c>
      <c r="B325" s="264">
        <v>131</v>
      </c>
      <c r="C325" s="264">
        <v>1</v>
      </c>
      <c r="D325" s="264" t="s">
        <v>35</v>
      </c>
      <c r="E325" s="264">
        <v>50</v>
      </c>
      <c r="F325" s="264">
        <v>215</v>
      </c>
      <c r="G325" s="53" t="e">
        <f>VLOOKUP(B325,категория!A$2:B$14,2,FALSE)</f>
        <v>#N/A</v>
      </c>
    </row>
    <row r="326" spans="1:7">
      <c r="A326" s="263">
        <v>301</v>
      </c>
      <c r="B326" s="264">
        <v>118</v>
      </c>
      <c r="C326" s="264">
        <v>1</v>
      </c>
      <c r="D326" s="264" t="s">
        <v>41</v>
      </c>
      <c r="E326" s="264">
        <v>75</v>
      </c>
      <c r="F326" s="264">
        <v>350</v>
      </c>
      <c r="G326" s="53" t="str">
        <f>VLOOKUP(B326,категория!A$2:B$14,2,FALSE)</f>
        <v>практика ч/б</v>
      </c>
    </row>
    <row r="327" spans="1:7">
      <c r="A327" s="263">
        <v>301</v>
      </c>
      <c r="B327" s="264">
        <v>118</v>
      </c>
      <c r="C327" s="264">
        <v>6</v>
      </c>
      <c r="D327" s="264" t="s">
        <v>38</v>
      </c>
      <c r="E327" s="264">
        <v>1800</v>
      </c>
      <c r="F327" s="264">
        <v>70</v>
      </c>
      <c r="G327" s="53" t="str">
        <f>VLOOKUP(B327,категория!A$2:B$14,2,FALSE)</f>
        <v>практика ч/б</v>
      </c>
    </row>
    <row r="328" spans="1:7">
      <c r="A328" s="263">
        <v>301</v>
      </c>
      <c r="B328" s="264">
        <v>118</v>
      </c>
      <c r="C328" s="264">
        <v>1</v>
      </c>
      <c r="D328" s="264" t="s">
        <v>38</v>
      </c>
      <c r="E328" s="264">
        <v>75</v>
      </c>
      <c r="F328" s="264">
        <v>70</v>
      </c>
      <c r="G328" s="53" t="str">
        <f>VLOOKUP(B328,категория!A$2:B$14,2,FALSE)</f>
        <v>практика ч/б</v>
      </c>
    </row>
    <row r="329" spans="1:7">
      <c r="A329" s="263">
        <v>301</v>
      </c>
      <c r="B329" s="264">
        <v>131</v>
      </c>
      <c r="C329" s="264">
        <v>1</v>
      </c>
      <c r="D329" s="264" t="s">
        <v>41</v>
      </c>
      <c r="E329" s="264">
        <v>75</v>
      </c>
      <c r="F329" s="264">
        <v>170</v>
      </c>
      <c r="G329" s="53" t="e">
        <f>VLOOKUP(B329,категория!A$2:B$14,2,FALSE)</f>
        <v>#N/A</v>
      </c>
    </row>
    <row r="330" spans="1:7">
      <c r="A330" s="263">
        <v>302</v>
      </c>
      <c r="B330" s="264">
        <v>118</v>
      </c>
      <c r="C330" s="264">
        <v>1</v>
      </c>
      <c r="D330" s="264" t="s">
        <v>41</v>
      </c>
      <c r="E330" s="264">
        <v>75</v>
      </c>
      <c r="F330" s="264">
        <v>350</v>
      </c>
      <c r="G330" s="53" t="str">
        <f>VLOOKUP(B330,категория!A$2:B$14,2,FALSE)</f>
        <v>практика ч/б</v>
      </c>
    </row>
    <row r="331" spans="1:7">
      <c r="A331" s="263">
        <v>302</v>
      </c>
      <c r="B331" s="264">
        <v>118</v>
      </c>
      <c r="C331" s="264">
        <v>6</v>
      </c>
      <c r="D331" s="264" t="s">
        <v>38</v>
      </c>
      <c r="E331" s="264">
        <v>1800</v>
      </c>
      <c r="F331" s="264">
        <v>70</v>
      </c>
      <c r="G331" s="53" t="str">
        <f>VLOOKUP(B331,категория!A$2:B$14,2,FALSE)</f>
        <v>практика ч/б</v>
      </c>
    </row>
    <row r="332" spans="1:7">
      <c r="A332" s="263">
        <v>302</v>
      </c>
      <c r="B332" s="264">
        <v>118</v>
      </c>
      <c r="C332" s="264">
        <v>1</v>
      </c>
      <c r="D332" s="264" t="s">
        <v>38</v>
      </c>
      <c r="E332" s="264">
        <v>75</v>
      </c>
      <c r="F332" s="264">
        <v>70</v>
      </c>
      <c r="G332" s="53" t="str">
        <f>VLOOKUP(B332,категория!A$2:B$14,2,FALSE)</f>
        <v>практика ч/б</v>
      </c>
    </row>
    <row r="333" spans="1:7">
      <c r="A333" s="263">
        <v>302</v>
      </c>
      <c r="B333" s="264">
        <v>131</v>
      </c>
      <c r="C333" s="264">
        <v>1</v>
      </c>
      <c r="D333" s="264" t="s">
        <v>41</v>
      </c>
      <c r="E333" s="264">
        <v>75</v>
      </c>
      <c r="F333" s="264">
        <v>170</v>
      </c>
      <c r="G333" s="53" t="e">
        <f>VLOOKUP(B333,категория!A$2:B$14,2,FALSE)</f>
        <v>#N/A</v>
      </c>
    </row>
    <row r="334" spans="1:7">
      <c r="A334" s="263">
        <v>303</v>
      </c>
      <c r="B334" s="264">
        <v>118</v>
      </c>
      <c r="C334" s="264">
        <v>1</v>
      </c>
      <c r="D334" s="264" t="s">
        <v>41</v>
      </c>
      <c r="E334" s="264">
        <v>75</v>
      </c>
      <c r="F334" s="264">
        <v>350</v>
      </c>
      <c r="G334" s="53" t="str">
        <f>VLOOKUP(B334,категория!A$2:B$14,2,FALSE)</f>
        <v>практика ч/б</v>
      </c>
    </row>
    <row r="335" spans="1:7">
      <c r="A335" s="263">
        <v>303</v>
      </c>
      <c r="B335" s="264">
        <v>118</v>
      </c>
      <c r="C335" s="264">
        <v>6</v>
      </c>
      <c r="D335" s="264" t="s">
        <v>38</v>
      </c>
      <c r="E335" s="264">
        <v>1800</v>
      </c>
      <c r="F335" s="264">
        <v>70</v>
      </c>
      <c r="G335" s="53" t="str">
        <f>VLOOKUP(B335,категория!A$2:B$14,2,FALSE)</f>
        <v>практика ч/б</v>
      </c>
    </row>
    <row r="336" spans="1:7">
      <c r="A336" s="263">
        <v>303</v>
      </c>
      <c r="B336" s="264">
        <v>118</v>
      </c>
      <c r="C336" s="264">
        <v>1</v>
      </c>
      <c r="D336" s="264" t="s">
        <v>38</v>
      </c>
      <c r="E336" s="264">
        <v>75</v>
      </c>
      <c r="F336" s="264">
        <v>70</v>
      </c>
      <c r="G336" s="53" t="str">
        <f>VLOOKUP(B336,категория!A$2:B$14,2,FALSE)</f>
        <v>практика ч/б</v>
      </c>
    </row>
    <row r="337" spans="1:7">
      <c r="A337" s="263">
        <v>303</v>
      </c>
      <c r="B337" s="264">
        <v>131</v>
      </c>
      <c r="C337" s="264">
        <v>1</v>
      </c>
      <c r="D337" s="264" t="s">
        <v>41</v>
      </c>
      <c r="E337" s="264">
        <v>75</v>
      </c>
      <c r="F337" s="264">
        <v>170</v>
      </c>
      <c r="G337" s="53" t="e">
        <f>VLOOKUP(B337,категория!A$2:B$14,2,FALSE)</f>
        <v>#N/A</v>
      </c>
    </row>
    <row r="338" spans="1:7">
      <c r="A338" s="263">
        <v>304</v>
      </c>
      <c r="B338" s="264">
        <v>118</v>
      </c>
      <c r="C338" s="264">
        <v>1</v>
      </c>
      <c r="D338" s="264" t="s">
        <v>41</v>
      </c>
      <c r="E338" s="264">
        <v>75</v>
      </c>
      <c r="F338" s="264">
        <v>350</v>
      </c>
      <c r="G338" s="53" t="str">
        <f>VLOOKUP(B338,категория!A$2:B$14,2,FALSE)</f>
        <v>практика ч/б</v>
      </c>
    </row>
    <row r="339" spans="1:7">
      <c r="A339" s="263">
        <v>304</v>
      </c>
      <c r="B339" s="264">
        <v>118</v>
      </c>
      <c r="C339" s="264">
        <v>6</v>
      </c>
      <c r="D339" s="264" t="s">
        <v>38</v>
      </c>
      <c r="E339" s="264">
        <v>1800</v>
      </c>
      <c r="F339" s="264">
        <v>70</v>
      </c>
      <c r="G339" s="53" t="str">
        <f>VLOOKUP(B339,категория!A$2:B$14,2,FALSE)</f>
        <v>практика ч/б</v>
      </c>
    </row>
    <row r="340" spans="1:7">
      <c r="A340" s="263">
        <v>304</v>
      </c>
      <c r="B340" s="264">
        <v>118</v>
      </c>
      <c r="C340" s="264">
        <v>1</v>
      </c>
      <c r="D340" s="264" t="s">
        <v>38</v>
      </c>
      <c r="E340" s="264">
        <v>75</v>
      </c>
      <c r="F340" s="264">
        <v>70</v>
      </c>
      <c r="G340" s="53" t="str">
        <f>VLOOKUP(B340,категория!A$2:B$14,2,FALSE)</f>
        <v>практика ч/б</v>
      </c>
    </row>
    <row r="341" spans="1:7">
      <c r="A341" s="263">
        <v>304</v>
      </c>
      <c r="B341" s="264">
        <v>131</v>
      </c>
      <c r="C341" s="264">
        <v>1</v>
      </c>
      <c r="D341" s="264" t="s">
        <v>41</v>
      </c>
      <c r="E341" s="264">
        <v>75</v>
      </c>
      <c r="F341" s="264">
        <v>170</v>
      </c>
      <c r="G341" s="53" t="s">
        <v>57</v>
      </c>
    </row>
    <row r="342" spans="1:7">
      <c r="A342" s="263">
        <v>305</v>
      </c>
      <c r="B342" s="264">
        <v>118</v>
      </c>
      <c r="C342" s="264">
        <v>1</v>
      </c>
      <c r="D342" s="264" t="s">
        <v>41</v>
      </c>
      <c r="E342" s="264">
        <v>75</v>
      </c>
      <c r="F342" s="264">
        <v>350</v>
      </c>
      <c r="G342" s="53" t="str">
        <f>VLOOKUP(B342,категория!A$2:B$14,2,FALSE)</f>
        <v>практика ч/б</v>
      </c>
    </row>
    <row r="343" spans="1:7">
      <c r="A343" s="263">
        <v>305</v>
      </c>
      <c r="B343" s="264">
        <v>118</v>
      </c>
      <c r="C343" s="264">
        <v>6</v>
      </c>
      <c r="D343" s="264" t="s">
        <v>38</v>
      </c>
      <c r="E343" s="264">
        <v>1800</v>
      </c>
      <c r="F343" s="264">
        <v>70</v>
      </c>
      <c r="G343" s="53" t="str">
        <f>VLOOKUP(B343,категория!A$2:B$14,2,FALSE)</f>
        <v>практика ч/б</v>
      </c>
    </row>
    <row r="344" spans="1:7">
      <c r="A344" s="263">
        <v>305</v>
      </c>
      <c r="B344" s="264">
        <v>118</v>
      </c>
      <c r="C344" s="264">
        <v>1</v>
      </c>
      <c r="D344" s="264" t="s">
        <v>38</v>
      </c>
      <c r="E344" s="264">
        <v>75</v>
      </c>
      <c r="F344" s="264">
        <v>70</v>
      </c>
      <c r="G344" s="53" t="str">
        <f>VLOOKUP(B344,категория!A$2:B$14,2,FALSE)</f>
        <v>практика ч/б</v>
      </c>
    </row>
    <row r="345" spans="1:7">
      <c r="A345" s="263">
        <v>305</v>
      </c>
      <c r="B345" s="264">
        <v>131</v>
      </c>
      <c r="C345" s="264">
        <v>1</v>
      </c>
      <c r="D345" s="264" t="s">
        <v>41</v>
      </c>
      <c r="E345" s="264">
        <v>75</v>
      </c>
      <c r="F345" s="264">
        <v>170</v>
      </c>
      <c r="G345" s="53" t="e">
        <f>VLOOKUP(B345,категория!A$2:B$14,2,FALSE)</f>
        <v>#N/A</v>
      </c>
    </row>
    <row r="346" spans="1:7">
      <c r="A346" s="263">
        <v>306</v>
      </c>
      <c r="B346" s="264">
        <v>118</v>
      </c>
      <c r="C346" s="264">
        <v>1</v>
      </c>
      <c r="D346" s="264" t="s">
        <v>41</v>
      </c>
      <c r="E346" s="264">
        <v>75</v>
      </c>
      <c r="F346" s="264">
        <v>350</v>
      </c>
      <c r="G346" s="53" t="str">
        <f>VLOOKUP(B346,категория!A$2:B$14,2,FALSE)</f>
        <v>практика ч/б</v>
      </c>
    </row>
    <row r="347" spans="1:7">
      <c r="A347" s="263">
        <v>306</v>
      </c>
      <c r="B347" s="264">
        <v>118</v>
      </c>
      <c r="C347" s="264">
        <v>6</v>
      </c>
      <c r="D347" s="264" t="s">
        <v>38</v>
      </c>
      <c r="E347" s="264">
        <v>1800</v>
      </c>
      <c r="F347" s="264">
        <v>70</v>
      </c>
      <c r="G347" s="53" t="str">
        <f>VLOOKUP(B347,категория!A$2:B$14,2,FALSE)</f>
        <v>практика ч/б</v>
      </c>
    </row>
    <row r="348" spans="1:7">
      <c r="A348" s="263">
        <v>306</v>
      </c>
      <c r="B348" s="264">
        <v>118</v>
      </c>
      <c r="C348" s="264">
        <v>1</v>
      </c>
      <c r="D348" s="264" t="s">
        <v>38</v>
      </c>
      <c r="E348" s="264">
        <v>75</v>
      </c>
      <c r="F348" s="264">
        <v>70</v>
      </c>
      <c r="G348" s="53" t="str">
        <f>VLOOKUP(B348,категория!A$2:B$14,2,FALSE)</f>
        <v>практика ч/б</v>
      </c>
    </row>
    <row r="349" spans="1:7">
      <c r="A349" s="263">
        <v>306</v>
      </c>
      <c r="B349" s="264">
        <v>131</v>
      </c>
      <c r="C349" s="264">
        <v>1</v>
      </c>
      <c r="D349" s="264" t="s">
        <v>41</v>
      </c>
      <c r="E349" s="264">
        <v>75</v>
      </c>
      <c r="F349" s="264">
        <v>170</v>
      </c>
      <c r="G349" s="53" t="e">
        <f>VLOOKUP(B349,категория!A$2:B$14,2,FALSE)</f>
        <v>#N/A</v>
      </c>
    </row>
    <row r="350" spans="1:7">
      <c r="A350" s="263">
        <v>307</v>
      </c>
      <c r="B350" s="264">
        <v>118</v>
      </c>
      <c r="C350" s="264">
        <v>1</v>
      </c>
      <c r="D350" s="264" t="s">
        <v>41</v>
      </c>
      <c r="E350" s="264">
        <v>75</v>
      </c>
      <c r="F350" s="264">
        <v>350</v>
      </c>
      <c r="G350" s="53" t="str">
        <f>VLOOKUP(B350,категория!A$2:B$14,2,FALSE)</f>
        <v>практика ч/б</v>
      </c>
    </row>
    <row r="351" spans="1:7">
      <c r="A351" s="263">
        <v>307</v>
      </c>
      <c r="B351" s="264">
        <v>118</v>
      </c>
      <c r="C351" s="264">
        <v>6</v>
      </c>
      <c r="D351" s="264" t="s">
        <v>38</v>
      </c>
      <c r="E351" s="264">
        <v>1800</v>
      </c>
      <c r="F351" s="264">
        <v>70</v>
      </c>
      <c r="G351" s="53" t="str">
        <f>VLOOKUP(B351,категория!A$2:B$14,2,FALSE)</f>
        <v>практика ч/б</v>
      </c>
    </row>
    <row r="352" spans="1:7">
      <c r="A352" s="263">
        <v>307</v>
      </c>
      <c r="B352" s="264">
        <v>118</v>
      </c>
      <c r="C352" s="264">
        <v>1</v>
      </c>
      <c r="D352" s="264" t="s">
        <v>38</v>
      </c>
      <c r="E352" s="264">
        <v>75</v>
      </c>
      <c r="F352" s="264">
        <v>70</v>
      </c>
      <c r="G352" s="53" t="str">
        <f>VLOOKUP(B352,категория!A$2:B$14,2,FALSE)</f>
        <v>практика ч/б</v>
      </c>
    </row>
    <row r="353" spans="1:7">
      <c r="A353" s="263">
        <v>307</v>
      </c>
      <c r="B353" s="264">
        <v>131</v>
      </c>
      <c r="C353" s="264">
        <v>1</v>
      </c>
      <c r="D353" s="264" t="s">
        <v>41</v>
      </c>
      <c r="E353" s="264">
        <v>75</v>
      </c>
      <c r="F353" s="264">
        <v>170</v>
      </c>
      <c r="G353" s="53" t="e">
        <f>VLOOKUP(B353,категория!A$2:B$14,2,FALSE)</f>
        <v>#N/A</v>
      </c>
    </row>
    <row r="354" spans="1:7">
      <c r="A354" s="263">
        <v>308</v>
      </c>
      <c r="B354" s="264">
        <v>118</v>
      </c>
      <c r="C354" s="264">
        <v>1</v>
      </c>
      <c r="D354" s="264" t="s">
        <v>41</v>
      </c>
      <c r="E354" s="264">
        <v>100</v>
      </c>
      <c r="F354" s="264">
        <v>350</v>
      </c>
      <c r="G354" s="53" t="str">
        <f>VLOOKUP(B354,категория!A$2:B$14,2,FALSE)</f>
        <v>практика ч/б</v>
      </c>
    </row>
    <row r="355" spans="1:7">
      <c r="A355" s="263">
        <v>308</v>
      </c>
      <c r="B355" s="264">
        <v>118</v>
      </c>
      <c r="C355" s="264">
        <v>6</v>
      </c>
      <c r="D355" s="264" t="s">
        <v>38</v>
      </c>
      <c r="E355" s="264">
        <v>2400</v>
      </c>
      <c r="F355" s="264">
        <v>70</v>
      </c>
      <c r="G355" s="53" t="str">
        <f>VLOOKUP(B355,категория!A$2:B$14,2,FALSE)</f>
        <v>практика ч/б</v>
      </c>
    </row>
    <row r="356" spans="1:7">
      <c r="A356" s="263">
        <v>308</v>
      </c>
      <c r="B356" s="264">
        <v>118</v>
      </c>
      <c r="C356" s="264">
        <v>1</v>
      </c>
      <c r="D356" s="264" t="s">
        <v>38</v>
      </c>
      <c r="E356" s="264">
        <v>100</v>
      </c>
      <c r="F356" s="264">
        <v>70</v>
      </c>
      <c r="G356" s="53" t="str">
        <f>VLOOKUP(B356,категория!A$2:B$14,2,FALSE)</f>
        <v>практика ч/б</v>
      </c>
    </row>
    <row r="357" spans="1:7">
      <c r="A357" s="263">
        <v>308</v>
      </c>
      <c r="B357" s="264">
        <v>131</v>
      </c>
      <c r="C357" s="264">
        <v>1</v>
      </c>
      <c r="D357" s="264" t="s">
        <v>41</v>
      </c>
      <c r="E357" s="264">
        <v>100</v>
      </c>
      <c r="F357" s="264">
        <v>170</v>
      </c>
      <c r="G357" s="53" t="e">
        <f>VLOOKUP(B357,категория!A$2:B$14,2,FALSE)</f>
        <v>#N/A</v>
      </c>
    </row>
    <row r="358" spans="1:7">
      <c r="A358" s="263">
        <v>309</v>
      </c>
      <c r="B358" s="264">
        <v>122</v>
      </c>
      <c r="C358" s="264">
        <v>1</v>
      </c>
      <c r="D358" s="264" t="s">
        <v>39</v>
      </c>
      <c r="E358" s="264">
        <v>37</v>
      </c>
      <c r="F358" s="264">
        <v>210</v>
      </c>
      <c r="G358" s="53" t="e">
        <f>VLOOKUP(B358,категория!A$2:B$14,2,FALSE)</f>
        <v>#N/A</v>
      </c>
    </row>
    <row r="359" spans="1:7">
      <c r="A359" s="263">
        <v>310</v>
      </c>
      <c r="B359" s="264">
        <v>126</v>
      </c>
      <c r="C359" s="264">
        <v>1</v>
      </c>
      <c r="D359" s="264" t="s">
        <v>309</v>
      </c>
      <c r="E359" s="264">
        <v>1250</v>
      </c>
      <c r="F359" s="264">
        <v>235</v>
      </c>
      <c r="G359" s="53" t="str">
        <f>VLOOKUP(B359,категория!A$2:B$14,2,FALSE)</f>
        <v>картон до 250</v>
      </c>
    </row>
    <row r="360" spans="1:7">
      <c r="A360" s="263">
        <v>310</v>
      </c>
      <c r="B360" s="264">
        <v>131</v>
      </c>
      <c r="C360" s="264">
        <v>1</v>
      </c>
      <c r="D360" s="264" t="s">
        <v>309</v>
      </c>
      <c r="E360" s="264">
        <v>1250</v>
      </c>
      <c r="F360" s="264">
        <v>235</v>
      </c>
      <c r="G360" s="53" t="e">
        <f>VLOOKUP(B360,категория!A$2:B$14,2,FALSE)</f>
        <v>#N/A</v>
      </c>
    </row>
    <row r="361" spans="1:7">
      <c r="A361" s="263">
        <v>312</v>
      </c>
      <c r="B361" s="264">
        <v>110</v>
      </c>
      <c r="C361" s="264">
        <v>1</v>
      </c>
      <c r="D361" s="264" t="s">
        <v>40</v>
      </c>
      <c r="E361" s="264">
        <v>200</v>
      </c>
      <c r="F361" s="264">
        <v>250</v>
      </c>
      <c r="G361" s="53" t="str">
        <f>VLOOKUP(B361,категория!A$2:B$14,2,FALSE)</f>
        <v>мел+офсет</v>
      </c>
    </row>
    <row r="362" spans="1:7">
      <c r="A362" s="263">
        <v>312</v>
      </c>
      <c r="B362" s="264">
        <v>110</v>
      </c>
      <c r="C362" s="264">
        <v>1</v>
      </c>
      <c r="D362" s="264" t="s">
        <v>38</v>
      </c>
      <c r="E362" s="264">
        <v>400</v>
      </c>
      <c r="F362" s="264">
        <v>100</v>
      </c>
      <c r="G362" s="53" t="str">
        <f>VLOOKUP(B362,категория!A$2:B$14,2,FALSE)</f>
        <v>мел+офсет</v>
      </c>
    </row>
    <row r="363" spans="1:7">
      <c r="A363" s="263">
        <v>312</v>
      </c>
      <c r="B363" s="264">
        <v>118</v>
      </c>
      <c r="C363" s="264">
        <v>3</v>
      </c>
      <c r="D363" s="264" t="s">
        <v>38</v>
      </c>
      <c r="E363" s="264">
        <v>4000</v>
      </c>
      <c r="F363" s="264">
        <v>100</v>
      </c>
      <c r="G363" s="53" t="str">
        <f>VLOOKUP(B363,категория!A$2:B$14,2,FALSE)</f>
        <v>практика ч/б</v>
      </c>
    </row>
    <row r="364" spans="1:7">
      <c r="A364" s="263">
        <v>312</v>
      </c>
      <c r="B364" s="264">
        <v>118</v>
      </c>
      <c r="C364" s="264">
        <v>1</v>
      </c>
      <c r="D364" s="264" t="s">
        <v>38</v>
      </c>
      <c r="E364" s="264">
        <v>200</v>
      </c>
      <c r="F364" s="264">
        <v>100</v>
      </c>
      <c r="G364" s="53" t="str">
        <f>VLOOKUP(B364,категория!A$2:B$14,2,FALSE)</f>
        <v>практика ч/б</v>
      </c>
    </row>
    <row r="365" spans="1:7">
      <c r="A365" s="263">
        <v>312</v>
      </c>
      <c r="B365" s="264">
        <v>118</v>
      </c>
      <c r="C365" s="264">
        <v>1</v>
      </c>
      <c r="D365" s="264" t="s">
        <v>38</v>
      </c>
      <c r="E365" s="264">
        <v>100</v>
      </c>
      <c r="F365" s="264">
        <v>100</v>
      </c>
      <c r="G365" s="53" t="str">
        <f>VLOOKUP(B365,категория!A$2:B$14,2,FALSE)</f>
        <v>практика ч/б</v>
      </c>
    </row>
    <row r="366" spans="1:7">
      <c r="A366" s="263">
        <v>315</v>
      </c>
      <c r="B366" s="264">
        <v>112</v>
      </c>
      <c r="C366" s="264">
        <v>2</v>
      </c>
      <c r="D366" s="264" t="s">
        <v>48</v>
      </c>
      <c r="E366" s="264">
        <v>1250</v>
      </c>
      <c r="F366" s="264">
        <v>250</v>
      </c>
      <c r="G366" s="53" t="str">
        <f>VLOOKUP(B366,категория!A$2:B$14,2,FALSE)</f>
        <v>мел+офсет</v>
      </c>
    </row>
    <row r="367" spans="1:7">
      <c r="A367" s="263">
        <v>315</v>
      </c>
      <c r="B367" s="264">
        <v>132</v>
      </c>
      <c r="C367" s="264">
        <v>2</v>
      </c>
      <c r="D367" s="264" t="s">
        <v>48</v>
      </c>
      <c r="E367" s="264">
        <v>1250</v>
      </c>
      <c r="F367" s="264">
        <v>250</v>
      </c>
      <c r="G367" s="53" t="str">
        <f>VLOOKUP(B367,категория!A$2:B$14,2,FALSE)</f>
        <v xml:space="preserve">лак </v>
      </c>
    </row>
    <row r="368" spans="1:7">
      <c r="A368" s="263">
        <v>316</v>
      </c>
      <c r="B368" s="264">
        <v>118</v>
      </c>
      <c r="C368" s="264">
        <v>6</v>
      </c>
      <c r="D368" s="264" t="s">
        <v>38</v>
      </c>
      <c r="E368" s="264">
        <v>2500</v>
      </c>
      <c r="F368" s="264">
        <v>80</v>
      </c>
      <c r="G368" s="53" t="str">
        <f>VLOOKUP(B368,категория!A$2:B$14,2,FALSE)</f>
        <v>практика ч/б</v>
      </c>
    </row>
    <row r="369" spans="1:7">
      <c r="A369" s="263">
        <v>316</v>
      </c>
      <c r="B369" s="264">
        <v>112</v>
      </c>
      <c r="C369" s="264">
        <v>1</v>
      </c>
      <c r="D369" s="264" t="s">
        <v>40</v>
      </c>
      <c r="E369" s="264">
        <v>63</v>
      </c>
      <c r="F369" s="264">
        <v>215</v>
      </c>
      <c r="G369" s="53" t="str">
        <f>VLOOKUP(B369,категория!A$2:B$14,2,FALSE)</f>
        <v>мел+офсет</v>
      </c>
    </row>
    <row r="370" spans="1:7">
      <c r="A370" s="263">
        <v>319</v>
      </c>
      <c r="B370" s="264">
        <v>126</v>
      </c>
      <c r="C370" s="264">
        <v>1</v>
      </c>
      <c r="D370" s="264" t="s">
        <v>35</v>
      </c>
      <c r="E370" s="264">
        <v>1667</v>
      </c>
      <c r="F370" s="264">
        <v>210</v>
      </c>
      <c r="G370" s="53" t="str">
        <f>VLOOKUP(B370,категория!A$2:B$14,2,FALSE)</f>
        <v>картон до 250</v>
      </c>
    </row>
    <row r="371" spans="1:7">
      <c r="A371" s="263">
        <v>319</v>
      </c>
      <c r="B371" s="264">
        <v>132</v>
      </c>
      <c r="C371" s="264">
        <v>1</v>
      </c>
      <c r="D371" s="264" t="s">
        <v>35</v>
      </c>
      <c r="E371" s="264">
        <v>1667</v>
      </c>
      <c r="F371" s="264">
        <v>210</v>
      </c>
      <c r="G371" s="53" t="str">
        <f>VLOOKUP(B371,категория!A$2:B$14,2,FALSE)</f>
        <v xml:space="preserve">лак </v>
      </c>
    </row>
    <row r="372" spans="1:7">
      <c r="A372" s="263">
        <v>320</v>
      </c>
      <c r="B372" s="264">
        <v>110</v>
      </c>
      <c r="C372" s="264">
        <v>1</v>
      </c>
      <c r="D372" s="264" t="s">
        <v>39</v>
      </c>
      <c r="E372" s="264">
        <v>132</v>
      </c>
      <c r="F372" s="264">
        <v>210</v>
      </c>
      <c r="G372" s="53" t="str">
        <f>VLOOKUP(B372,категория!A$2:B$14,2,FALSE)</f>
        <v>мел+офсет</v>
      </c>
    </row>
    <row r="373" spans="1:7">
      <c r="A373" s="263">
        <v>321</v>
      </c>
      <c r="B373" s="264">
        <v>118</v>
      </c>
      <c r="C373" s="264">
        <v>2</v>
      </c>
      <c r="D373" s="264" t="s">
        <v>38</v>
      </c>
      <c r="E373" s="264">
        <v>2500</v>
      </c>
      <c r="F373" s="264">
        <v>60</v>
      </c>
      <c r="G373" s="53" t="str">
        <f>VLOOKUP(B373,категория!A$2:B$14,2,FALSE)</f>
        <v>практика ч/б</v>
      </c>
    </row>
    <row r="374" spans="1:7">
      <c r="A374" s="263">
        <v>322</v>
      </c>
      <c r="B374" s="264">
        <v>114</v>
      </c>
      <c r="C374" s="264">
        <v>1</v>
      </c>
      <c r="D374" s="264" t="s">
        <v>35</v>
      </c>
      <c r="E374" s="264">
        <v>53334</v>
      </c>
      <c r="F374" s="264">
        <v>300</v>
      </c>
      <c r="G374" s="53" t="str">
        <f>VLOOKUP(B374,категория!A$2:B$14,2,FALSE)</f>
        <v>картон от 270</v>
      </c>
    </row>
    <row r="375" spans="1:7">
      <c r="A375" s="263">
        <v>323</v>
      </c>
      <c r="B375" s="264">
        <v>137</v>
      </c>
      <c r="C375" s="264">
        <v>1</v>
      </c>
      <c r="D375" s="264" t="s">
        <v>356</v>
      </c>
      <c r="E375" s="264">
        <v>10000</v>
      </c>
      <c r="F375" s="264">
        <v>450</v>
      </c>
      <c r="G375" s="53" t="str">
        <f>VLOOKUP(B375,категория!A$2:B$14,2,FALSE)</f>
        <v>фаворит ч/б</v>
      </c>
    </row>
    <row r="376" spans="1:7">
      <c r="A376" s="263"/>
      <c r="B376" s="205"/>
      <c r="C376" s="205"/>
      <c r="D376" s="205"/>
      <c r="E376" s="205"/>
      <c r="F376" s="205"/>
      <c r="G376" s="53" t="e">
        <f>VLOOKUP(B376,категория!A$2:B$14,2,FALSE)</f>
        <v>#N/A</v>
      </c>
    </row>
    <row r="377" spans="1:7">
      <c r="A377" s="263"/>
      <c r="B377" s="205"/>
      <c r="C377" s="205"/>
      <c r="D377" s="205"/>
      <c r="E377" s="205"/>
      <c r="F377" s="205"/>
      <c r="G377" s="53" t="e">
        <f>VLOOKUP(B377,категория!A$2:B$14,2,FALSE)</f>
        <v>#N/A</v>
      </c>
    </row>
    <row r="378" spans="1:7">
      <c r="A378" s="263"/>
      <c r="B378" s="205"/>
      <c r="C378" s="205"/>
      <c r="D378" s="205"/>
      <c r="E378" s="205"/>
      <c r="F378" s="205"/>
      <c r="G378" s="53" t="e">
        <f>VLOOKUP(B378,категория!A$2:B$14,2,FALSE)</f>
        <v>#N/A</v>
      </c>
    </row>
    <row r="379" spans="1:7">
      <c r="A379" s="263"/>
      <c r="B379" s="205"/>
      <c r="C379" s="205"/>
      <c r="D379" s="205"/>
      <c r="E379" s="205"/>
      <c r="F379" s="205"/>
      <c r="G379" s="53" t="e">
        <f>VLOOKUP(B379,категория!A$2:B$14,2,FALSE)</f>
        <v>#N/A</v>
      </c>
    </row>
    <row r="380" spans="1:7">
      <c r="A380" s="263"/>
      <c r="B380" s="205"/>
      <c r="C380" s="205"/>
      <c r="D380" s="205"/>
      <c r="E380" s="205"/>
      <c r="F380" s="205"/>
      <c r="G380" s="53" t="e">
        <f>VLOOKUP(B380,категория!A$2:B$14,2,FALSE)</f>
        <v>#N/A</v>
      </c>
    </row>
    <row r="381" spans="1:7">
      <c r="A381" s="263"/>
      <c r="B381" s="205"/>
      <c r="C381" s="205"/>
      <c r="D381" s="205"/>
      <c r="E381" s="205"/>
      <c r="F381" s="205"/>
      <c r="G381" s="53" t="e">
        <f>VLOOKUP(B381,категория!A$2:B$14,2,FALSE)</f>
        <v>#N/A</v>
      </c>
    </row>
    <row r="382" spans="1:7">
      <c r="A382" s="263"/>
      <c r="B382" s="205"/>
      <c r="C382" s="205"/>
      <c r="D382" s="205"/>
      <c r="E382" s="205"/>
      <c r="F382" s="205"/>
      <c r="G382" s="53" t="e">
        <f>VLOOKUP(B382,категория!A$2:B$14,2,FALSE)</f>
        <v>#N/A</v>
      </c>
    </row>
    <row r="383" spans="1:7">
      <c r="A383" s="263"/>
      <c r="B383" s="205"/>
      <c r="C383" s="205"/>
      <c r="D383" s="205"/>
      <c r="E383" s="205"/>
      <c r="F383" s="205"/>
      <c r="G383" s="53" t="e">
        <f>VLOOKUP(B383,категория!A$2:B$14,2,FALSE)</f>
        <v>#N/A</v>
      </c>
    </row>
    <row r="384" spans="1:7">
      <c r="A384" s="263"/>
      <c r="B384" s="205"/>
      <c r="C384" s="205"/>
      <c r="D384" s="205"/>
      <c r="E384" s="205"/>
      <c r="F384" s="205"/>
      <c r="G384" s="53" t="e">
        <f>VLOOKUP(B384,категория!A$2:B$14,2,FALSE)</f>
        <v>#N/A</v>
      </c>
    </row>
    <row r="385" spans="1:7">
      <c r="A385" s="263"/>
      <c r="B385" s="205"/>
      <c r="C385" s="205"/>
      <c r="D385" s="205"/>
      <c r="E385" s="205"/>
      <c r="F385" s="205"/>
      <c r="G385" s="53" t="e">
        <f>VLOOKUP(B385,категория!A$2:B$14,2,FALSE)</f>
        <v>#N/A</v>
      </c>
    </row>
    <row r="386" spans="1:7">
      <c r="A386" s="263"/>
      <c r="B386" s="205"/>
      <c r="C386" s="205"/>
      <c r="D386" s="205"/>
      <c r="E386" s="205"/>
      <c r="F386" s="205"/>
      <c r="G386" s="53" t="e">
        <f>VLOOKUP(B386,категория!A$2:B$14,2,FALSE)</f>
        <v>#N/A</v>
      </c>
    </row>
    <row r="387" spans="1:7">
      <c r="A387" s="263"/>
      <c r="B387" s="205"/>
      <c r="C387" s="205"/>
      <c r="D387" s="205"/>
      <c r="E387" s="205"/>
      <c r="F387" s="205"/>
      <c r="G387" s="53" t="e">
        <f>VLOOKUP(B387,категория!A$2:B$14,2,FALSE)</f>
        <v>#N/A</v>
      </c>
    </row>
    <row r="388" spans="1:7">
      <c r="A388" s="263"/>
      <c r="B388" s="205"/>
      <c r="C388" s="205"/>
      <c r="D388" s="205"/>
      <c r="E388" s="205"/>
      <c r="F388" s="205"/>
      <c r="G388" s="53" t="e">
        <f>VLOOKUP(B388,категория!A$2:B$14,2,FALSE)</f>
        <v>#N/A</v>
      </c>
    </row>
    <row r="389" spans="1:7">
      <c r="A389" s="263"/>
      <c r="B389" s="205"/>
      <c r="C389" s="205"/>
      <c r="D389" s="205"/>
      <c r="E389" s="205"/>
      <c r="F389" s="205"/>
      <c r="G389" s="53" t="e">
        <f>VLOOKUP(B389,категория!A$2:B$14,2,FALSE)</f>
        <v>#N/A</v>
      </c>
    </row>
    <row r="390" spans="1:7">
      <c r="A390" s="263"/>
      <c r="B390" s="205"/>
      <c r="C390" s="205"/>
      <c r="D390" s="205"/>
      <c r="E390" s="205"/>
      <c r="F390" s="205"/>
      <c r="G390" s="53" t="e">
        <f>VLOOKUP(B390,категория!A$2:B$14,2,FALSE)</f>
        <v>#N/A</v>
      </c>
    </row>
    <row r="391" spans="1:7">
      <c r="A391" s="263"/>
      <c r="B391" s="205"/>
      <c r="C391" s="205"/>
      <c r="D391" s="205"/>
      <c r="E391" s="205"/>
      <c r="F391" s="205"/>
      <c r="G391" s="53" t="e">
        <f>VLOOKUP(B391,категория!A$2:B$14,2,FALSE)</f>
        <v>#N/A</v>
      </c>
    </row>
    <row r="392" spans="1:7">
      <c r="A392" s="263"/>
      <c r="B392" s="205"/>
      <c r="C392" s="205"/>
      <c r="D392" s="205"/>
      <c r="E392" s="205"/>
      <c r="F392" s="205"/>
      <c r="G392" s="53" t="e">
        <f>VLOOKUP(B392,категория!A$2:B$14,2,FALSE)</f>
        <v>#N/A</v>
      </c>
    </row>
    <row r="393" spans="1:7">
      <c r="A393" s="263"/>
      <c r="B393" s="205"/>
      <c r="C393" s="205"/>
      <c r="D393" s="205"/>
      <c r="E393" s="205"/>
      <c r="F393" s="205"/>
      <c r="G393" s="53" t="e">
        <f>VLOOKUP(B393,категория!A$2:B$14,2,FALSE)</f>
        <v>#N/A</v>
      </c>
    </row>
    <row r="394" spans="1:7">
      <c r="A394" s="263"/>
      <c r="B394" s="205"/>
      <c r="C394" s="205"/>
      <c r="D394" s="205"/>
      <c r="E394" s="205"/>
      <c r="F394" s="205"/>
      <c r="G394" s="53" t="e">
        <f>VLOOKUP(B394,категория!A$2:B$14,2,FALSE)</f>
        <v>#N/A</v>
      </c>
    </row>
    <row r="395" spans="1:7">
      <c r="A395" s="263"/>
      <c r="B395" s="205"/>
      <c r="C395" s="205"/>
      <c r="D395" s="205"/>
      <c r="E395" s="205"/>
      <c r="F395" s="205"/>
      <c r="G395" s="53" t="e">
        <f>VLOOKUP(B395,категория!A$2:B$14,2,FALSE)</f>
        <v>#N/A</v>
      </c>
    </row>
    <row r="396" spans="1:7">
      <c r="A396" s="263"/>
      <c r="B396" s="205"/>
      <c r="C396" s="205"/>
      <c r="D396" s="205"/>
      <c r="E396" s="205"/>
      <c r="F396" s="205"/>
      <c r="G396" s="53" t="e">
        <f>VLOOKUP(B396,категория!A$2:B$14,2,FALSE)</f>
        <v>#N/A</v>
      </c>
    </row>
    <row r="397" spans="1:7">
      <c r="A397" s="263"/>
      <c r="B397" s="205"/>
      <c r="C397" s="205"/>
      <c r="D397" s="205"/>
      <c r="E397" s="205"/>
      <c r="F397" s="205"/>
      <c r="G397" s="53" t="e">
        <f>VLOOKUP(B397,категория!A$2:B$14,2,FALSE)</f>
        <v>#N/A</v>
      </c>
    </row>
    <row r="398" spans="1:7">
      <c r="A398" s="263"/>
      <c r="B398" s="205"/>
      <c r="C398" s="205"/>
      <c r="D398" s="205"/>
      <c r="E398" s="205"/>
      <c r="F398" s="205"/>
      <c r="G398" s="53" t="e">
        <f>VLOOKUP(B398,категория!A$2:B$14,2,FALSE)</f>
        <v>#N/A</v>
      </c>
    </row>
    <row r="399" spans="1:7">
      <c r="A399" s="263"/>
      <c r="B399" s="205"/>
      <c r="C399" s="205"/>
      <c r="D399" s="205"/>
      <c r="E399" s="205"/>
      <c r="F399" s="205"/>
      <c r="G399" s="53" t="e">
        <f>VLOOKUP(B399,категория!A$2:B$14,2,FALSE)</f>
        <v>#N/A</v>
      </c>
    </row>
    <row r="400" spans="1:7">
      <c r="A400" s="263"/>
      <c r="B400" s="205"/>
      <c r="C400" s="205"/>
      <c r="D400" s="205"/>
      <c r="E400" s="205"/>
      <c r="F400" s="205"/>
      <c r="G400" s="53" t="e">
        <f>VLOOKUP(B400,категория!A$2:B$14,2,FALSE)</f>
        <v>#N/A</v>
      </c>
    </row>
    <row r="401" spans="1:7">
      <c r="A401" s="263"/>
      <c r="B401" s="205"/>
      <c r="C401" s="205"/>
      <c r="D401" s="205"/>
      <c r="E401" s="205"/>
      <c r="F401" s="205"/>
      <c r="G401" s="53" t="e">
        <f>VLOOKUP(B401,категория!A$2:B$14,2,FALSE)</f>
        <v>#N/A</v>
      </c>
    </row>
    <row r="402" spans="1:7">
      <c r="A402" s="263"/>
      <c r="B402" s="205"/>
      <c r="C402" s="205"/>
      <c r="D402" s="205"/>
      <c r="E402" s="205"/>
      <c r="F402" s="205"/>
      <c r="G402" s="53" t="e">
        <f>VLOOKUP(B402,категория!A$2:B$14,2,FALSE)</f>
        <v>#N/A</v>
      </c>
    </row>
    <row r="403" spans="1:7">
      <c r="A403" s="263"/>
      <c r="B403" s="205"/>
      <c r="C403" s="205"/>
      <c r="D403" s="205"/>
      <c r="E403" s="205"/>
      <c r="F403" s="205"/>
      <c r="G403" s="53" t="e">
        <f>VLOOKUP(B403,категория!A$2:B$14,2,FALSE)</f>
        <v>#N/A</v>
      </c>
    </row>
    <row r="404" spans="1:7">
      <c r="A404" s="263"/>
      <c r="B404" s="205"/>
      <c r="C404" s="205"/>
      <c r="D404" s="205"/>
      <c r="E404" s="205"/>
      <c r="F404" s="205"/>
      <c r="G404" s="53" t="e">
        <f>VLOOKUP(B404,категория!A$2:B$14,2,FALSE)</f>
        <v>#N/A</v>
      </c>
    </row>
    <row r="405" spans="1:7">
      <c r="A405" s="263"/>
      <c r="B405" s="205"/>
      <c r="C405" s="205"/>
      <c r="D405" s="205"/>
      <c r="E405" s="205"/>
      <c r="F405" s="205"/>
      <c r="G405" s="53" t="e">
        <f>VLOOKUP(B405,категория!A$2:B$14,2,FALSE)</f>
        <v>#N/A</v>
      </c>
    </row>
    <row r="406" spans="1:7">
      <c r="A406" s="263"/>
      <c r="B406" s="205"/>
      <c r="C406" s="205"/>
      <c r="D406" s="205"/>
      <c r="E406" s="205"/>
      <c r="F406" s="205"/>
      <c r="G406" s="186" t="e">
        <f>VLOOKUP(B406,категория!A$2:B$14,2,FALSE)</f>
        <v>#N/A</v>
      </c>
    </row>
    <row r="407" spans="1:7">
      <c r="A407" s="263"/>
      <c r="B407" s="205"/>
      <c r="C407" s="205"/>
      <c r="D407" s="205"/>
      <c r="E407" s="205"/>
      <c r="F407" s="205"/>
      <c r="G407" s="186" t="e">
        <f>VLOOKUP(B407,категория!A$2:B$14,2,FALSE)</f>
        <v>#N/A</v>
      </c>
    </row>
    <row r="408" spans="1:7">
      <c r="A408" s="263"/>
      <c r="B408" s="205"/>
      <c r="C408" s="205"/>
      <c r="D408" s="205"/>
      <c r="E408" s="205"/>
      <c r="F408" s="205"/>
      <c r="G408" s="186" t="e">
        <f>VLOOKUP(B408,категория!A$2:B$14,2,FALSE)</f>
        <v>#N/A</v>
      </c>
    </row>
    <row r="409" spans="1:7">
      <c r="A409" s="263"/>
      <c r="B409" s="205"/>
      <c r="C409" s="205"/>
      <c r="D409" s="205"/>
      <c r="E409" s="205"/>
      <c r="F409" s="205"/>
      <c r="G409" s="186" t="e">
        <f>VLOOKUP(B409,категория!A$2:B$14,2,FALSE)</f>
        <v>#N/A</v>
      </c>
    </row>
    <row r="410" spans="1:7">
      <c r="A410" s="263"/>
      <c r="B410" s="205"/>
      <c r="C410" s="205"/>
      <c r="D410" s="205"/>
      <c r="E410" s="205"/>
      <c r="F410" s="205"/>
      <c r="G410" s="186" t="e">
        <f>VLOOKUP(B410,категория!A$2:B$14,2,FALSE)</f>
        <v>#N/A</v>
      </c>
    </row>
    <row r="411" spans="1:7">
      <c r="A411" s="263"/>
      <c r="B411" s="205"/>
      <c r="C411" s="205"/>
      <c r="D411" s="205"/>
      <c r="E411" s="205"/>
      <c r="F411" s="205"/>
      <c r="G411" s="186" t="e">
        <f>VLOOKUP(B411,категория!A$2:B$14,2,FALSE)</f>
        <v>#N/A</v>
      </c>
    </row>
    <row r="412" spans="1:7">
      <c r="A412" s="263"/>
      <c r="B412" s="205"/>
      <c r="C412" s="205"/>
      <c r="D412" s="205"/>
      <c r="E412" s="205"/>
      <c r="F412" s="205"/>
      <c r="G412" s="186" t="e">
        <f>VLOOKUP(B412,категория!A$2:B$14,2,FALSE)</f>
        <v>#N/A</v>
      </c>
    </row>
    <row r="413" spans="1:7">
      <c r="A413" s="263"/>
      <c r="B413" s="205"/>
      <c r="C413" s="205"/>
      <c r="D413" s="205"/>
      <c r="E413" s="205"/>
      <c r="F413" s="205"/>
      <c r="G413" s="186" t="e">
        <f>VLOOKUP(B413,категория!A$2:B$14,2,FALSE)</f>
        <v>#N/A</v>
      </c>
    </row>
    <row r="414" spans="1:7">
      <c r="A414" s="263"/>
      <c r="B414" s="205"/>
      <c r="C414" s="205"/>
      <c r="D414" s="205"/>
      <c r="E414" s="205"/>
      <c r="F414" s="205"/>
      <c r="G414" s="186" t="e">
        <f>VLOOKUP(B414,категория!A$2:B$14,2,FALSE)</f>
        <v>#N/A</v>
      </c>
    </row>
    <row r="415" spans="1:7">
      <c r="A415" s="263"/>
      <c r="B415" s="205"/>
      <c r="C415" s="205"/>
      <c r="D415" s="205"/>
      <c r="E415" s="205"/>
      <c r="F415" s="205"/>
      <c r="G415" s="186" t="e">
        <f>VLOOKUP(B415,категория!A$2:B$14,2,FALSE)</f>
        <v>#N/A</v>
      </c>
    </row>
    <row r="416" spans="1:7">
      <c r="A416" s="263"/>
      <c r="B416" s="205"/>
      <c r="C416" s="205"/>
      <c r="D416" s="205"/>
      <c r="E416" s="205"/>
      <c r="F416" s="205"/>
      <c r="G416" s="186" t="e">
        <f>VLOOKUP(B416,категория!A$2:B$14,2,FALSE)</f>
        <v>#N/A</v>
      </c>
    </row>
    <row r="417" spans="1:7">
      <c r="A417" s="206"/>
      <c r="B417" s="205"/>
      <c r="C417" s="205"/>
      <c r="D417" s="205"/>
      <c r="E417" s="205"/>
      <c r="F417" s="205"/>
      <c r="G417" s="186" t="e">
        <f>VLOOKUP(B417,категория!A$2:B$14,2,FALSE)</f>
        <v>#N/A</v>
      </c>
    </row>
    <row r="418" spans="1:7">
      <c r="A418" s="206"/>
      <c r="B418" s="205"/>
      <c r="C418" s="205"/>
      <c r="D418" s="205"/>
      <c r="E418" s="205"/>
      <c r="F418" s="205"/>
      <c r="G418" s="186" t="e">
        <f>VLOOKUP(B418,категория!A$2:B$14,2,FALSE)</f>
        <v>#N/A</v>
      </c>
    </row>
    <row r="419" spans="1:7">
      <c r="A419" s="206"/>
      <c r="B419" s="205"/>
      <c r="C419" s="205"/>
      <c r="D419" s="205"/>
      <c r="E419" s="205"/>
      <c r="F419" s="205"/>
      <c r="G419" s="186" t="e">
        <f>VLOOKUP(B419,категория!A$2:B$14,2,FALSE)</f>
        <v>#N/A</v>
      </c>
    </row>
    <row r="420" spans="1:7">
      <c r="A420" s="206"/>
      <c r="B420" s="205"/>
      <c r="C420" s="205"/>
      <c r="D420" s="205"/>
      <c r="E420" s="205"/>
      <c r="F420" s="205"/>
      <c r="G420" s="186" t="e">
        <f>VLOOKUP(B420,категория!A$2:B$14,2,FALSE)</f>
        <v>#N/A</v>
      </c>
    </row>
    <row r="421" spans="1:7">
      <c r="A421" s="206"/>
      <c r="B421" s="205"/>
      <c r="C421" s="205"/>
      <c r="D421" s="205"/>
      <c r="E421" s="205"/>
      <c r="F421" s="205"/>
      <c r="G421" s="186" t="e">
        <f>VLOOKUP(B421,категория!A$2:B$14,2,FALSE)</f>
        <v>#N/A</v>
      </c>
    </row>
    <row r="422" spans="1:7">
      <c r="A422" s="206"/>
      <c r="B422" s="205"/>
      <c r="C422" s="205"/>
      <c r="D422" s="205"/>
      <c r="E422" s="205"/>
      <c r="F422" s="205"/>
      <c r="G422" s="186" t="e">
        <f>VLOOKUP(B422,категория!A$2:B$14,2,FALSE)</f>
        <v>#N/A</v>
      </c>
    </row>
    <row r="423" spans="1:7">
      <c r="A423" s="206"/>
      <c r="B423" s="205"/>
      <c r="C423" s="205"/>
      <c r="D423" s="205"/>
      <c r="E423" s="205"/>
      <c r="F423" s="205"/>
      <c r="G423" s="186" t="e">
        <f>VLOOKUP(B423,категория!A$2:B$14,2,FALSE)</f>
        <v>#N/A</v>
      </c>
    </row>
    <row r="424" spans="1:7">
      <c r="A424" s="206"/>
      <c r="B424" s="205"/>
      <c r="C424" s="205"/>
      <c r="D424" s="205"/>
      <c r="E424" s="205"/>
      <c r="F424" s="205"/>
      <c r="G424" s="186" t="e">
        <f>VLOOKUP(B424,категория!A$2:B$14,2,FALSE)</f>
        <v>#N/A</v>
      </c>
    </row>
    <row r="425" spans="1:7">
      <c r="A425" s="206"/>
      <c r="B425" s="205"/>
      <c r="C425" s="205"/>
      <c r="D425" s="205"/>
      <c r="E425" s="205"/>
      <c r="F425" s="205"/>
      <c r="G425" s="186" t="e">
        <f>VLOOKUP(B425,категория!A$2:B$14,2,FALSE)</f>
        <v>#N/A</v>
      </c>
    </row>
    <row r="426" spans="1:7">
      <c r="A426" s="206"/>
      <c r="B426" s="205"/>
      <c r="C426" s="205"/>
      <c r="D426" s="205"/>
      <c r="E426" s="205"/>
      <c r="F426" s="205"/>
      <c r="G426" s="186" t="e">
        <f>VLOOKUP(B426,категория!A$2:B$14,2,FALSE)</f>
        <v>#N/A</v>
      </c>
    </row>
    <row r="427" spans="1:7">
      <c r="A427" s="206"/>
      <c r="B427" s="205"/>
      <c r="C427" s="205"/>
      <c r="D427" s="205"/>
      <c r="E427" s="205"/>
      <c r="F427" s="205"/>
      <c r="G427" s="186" t="e">
        <f>VLOOKUP(B427,категория!A$2:B$14,2,FALSE)</f>
        <v>#N/A</v>
      </c>
    </row>
    <row r="428" spans="1:7">
      <c r="A428" s="206"/>
      <c r="B428" s="205"/>
      <c r="C428" s="205"/>
      <c r="D428" s="205"/>
      <c r="E428" s="205"/>
      <c r="F428" s="205"/>
      <c r="G428" s="186" t="e">
        <f>VLOOKUP(B428,категория!A$2:B$14,2,FALSE)</f>
        <v>#N/A</v>
      </c>
    </row>
    <row r="429" spans="1:7">
      <c r="A429" s="206"/>
      <c r="B429" s="205"/>
      <c r="C429" s="205"/>
      <c r="D429" s="205"/>
      <c r="E429" s="205"/>
      <c r="F429" s="205"/>
      <c r="G429" s="186" t="e">
        <f>VLOOKUP(B429,категория!A$2:B$14,2,FALSE)</f>
        <v>#N/A</v>
      </c>
    </row>
    <row r="430" spans="1:7">
      <c r="A430" s="206"/>
      <c r="B430" s="205"/>
      <c r="C430" s="205"/>
      <c r="D430" s="205"/>
      <c r="E430" s="205"/>
      <c r="F430" s="205"/>
      <c r="G430" s="186" t="e">
        <f>VLOOKUP(B430,категория!A$2:B$14,2,FALSE)</f>
        <v>#N/A</v>
      </c>
    </row>
    <row r="431" spans="1:7">
      <c r="A431" s="206"/>
      <c r="B431" s="205"/>
      <c r="C431" s="205"/>
      <c r="D431" s="205"/>
      <c r="E431" s="205"/>
      <c r="F431" s="205"/>
      <c r="G431" s="186" t="e">
        <f>VLOOKUP(B431,категория!A$2:B$14,2,FALSE)</f>
        <v>#N/A</v>
      </c>
    </row>
    <row r="432" spans="1:7">
      <c r="A432" s="206"/>
      <c r="B432" s="205"/>
      <c r="C432" s="205"/>
      <c r="D432" s="205"/>
      <c r="E432" s="205"/>
      <c r="F432" s="205"/>
      <c r="G432" s="186" t="e">
        <f>VLOOKUP(B432,категория!A$2:B$14,2,FALSE)</f>
        <v>#N/A</v>
      </c>
    </row>
    <row r="433" spans="1:7">
      <c r="A433" s="206"/>
      <c r="B433" s="205"/>
      <c r="C433" s="205"/>
      <c r="D433" s="205"/>
      <c r="E433" s="205"/>
      <c r="F433" s="205"/>
      <c r="G433" s="186" t="e">
        <f>VLOOKUP(B433,категория!A$2:B$14,2,FALSE)</f>
        <v>#N/A</v>
      </c>
    </row>
    <row r="434" spans="1:7">
      <c r="A434" s="206"/>
      <c r="B434" s="205"/>
      <c r="C434" s="205"/>
      <c r="D434" s="205"/>
      <c r="E434" s="205"/>
      <c r="F434" s="205"/>
      <c r="G434" s="186" t="e">
        <f>VLOOKUP(B434,категория!A$2:B$14,2,FALSE)</f>
        <v>#N/A</v>
      </c>
    </row>
    <row r="435" spans="1:7">
      <c r="A435" s="204"/>
      <c r="B435" s="203"/>
      <c r="C435" s="203"/>
      <c r="D435" s="203"/>
      <c r="E435" s="203"/>
      <c r="F435" s="203"/>
      <c r="G435" s="53"/>
    </row>
    <row r="436" spans="1:7">
      <c r="A436" s="204"/>
      <c r="B436" s="203"/>
      <c r="C436" s="203"/>
      <c r="D436" s="203"/>
      <c r="E436" s="203"/>
      <c r="F436" s="203"/>
      <c r="G436" s="53"/>
    </row>
    <row r="437" spans="1:7">
      <c r="A437" s="204"/>
      <c r="B437" s="203"/>
      <c r="C437" s="203"/>
      <c r="D437" s="203"/>
      <c r="E437" s="203"/>
      <c r="F437" s="203"/>
      <c r="G437" s="53"/>
    </row>
    <row r="438" spans="1:7">
      <c r="A438" s="204"/>
      <c r="B438" s="203"/>
      <c r="C438" s="203"/>
      <c r="D438" s="203"/>
      <c r="E438" s="203"/>
      <c r="F438" s="203"/>
      <c r="G438" s="53"/>
    </row>
    <row r="439" spans="1:7">
      <c r="A439" s="204"/>
      <c r="B439" s="203"/>
      <c r="C439" s="203"/>
      <c r="D439" s="203"/>
      <c r="E439" s="203"/>
      <c r="F439" s="203"/>
      <c r="G439" s="53"/>
    </row>
    <row r="440" spans="1:7">
      <c r="A440" s="204"/>
      <c r="B440" s="203"/>
      <c r="C440" s="203"/>
      <c r="D440" s="203"/>
      <c r="E440" s="203"/>
      <c r="F440" s="203"/>
      <c r="G440" s="53"/>
    </row>
    <row r="441" spans="1:7">
      <c r="A441" s="204"/>
      <c r="B441" s="203"/>
      <c r="C441" s="203"/>
      <c r="D441" s="203"/>
      <c r="E441" s="203"/>
      <c r="F441" s="203"/>
      <c r="G441" s="53"/>
    </row>
    <row r="442" spans="1:7">
      <c r="A442" s="204"/>
      <c r="B442" s="203"/>
      <c r="C442" s="203"/>
      <c r="D442" s="203"/>
      <c r="E442" s="203"/>
      <c r="F442" s="203"/>
      <c r="G442" s="53"/>
    </row>
    <row r="443" spans="1:7">
      <c r="A443" s="204"/>
      <c r="B443" s="203"/>
      <c r="C443" s="203"/>
      <c r="D443" s="203"/>
      <c r="E443" s="203"/>
      <c r="F443" s="203"/>
      <c r="G443" s="53"/>
    </row>
    <row r="444" spans="1:7">
      <c r="A444" s="204"/>
      <c r="B444" s="203"/>
      <c r="C444" s="203"/>
      <c r="D444" s="203"/>
      <c r="E444" s="203"/>
      <c r="F444" s="203"/>
      <c r="G444" s="53"/>
    </row>
    <row r="445" spans="1:7">
      <c r="A445" s="204"/>
      <c r="B445" s="203"/>
      <c r="C445" s="203"/>
      <c r="D445" s="203"/>
      <c r="E445" s="203"/>
      <c r="F445" s="203"/>
      <c r="G445" s="53"/>
    </row>
    <row r="446" spans="1:7">
      <c r="A446" s="204"/>
      <c r="B446" s="203"/>
      <c r="C446" s="203"/>
      <c r="D446" s="203"/>
      <c r="E446" s="203"/>
      <c r="F446" s="203"/>
      <c r="G446" s="53"/>
    </row>
    <row r="447" spans="1:7">
      <c r="A447" s="204"/>
      <c r="B447" s="203"/>
      <c r="C447" s="203"/>
      <c r="D447" s="203"/>
      <c r="E447" s="203"/>
      <c r="F447" s="203"/>
      <c r="G447" s="53"/>
    </row>
    <row r="448" spans="1:7">
      <c r="A448" s="204"/>
      <c r="B448" s="203"/>
      <c r="C448" s="203"/>
      <c r="D448" s="203"/>
      <c r="E448" s="203"/>
      <c r="F448" s="203"/>
      <c r="G448" s="53"/>
    </row>
    <row r="449" spans="1:7">
      <c r="A449" s="204"/>
      <c r="B449" s="203"/>
      <c r="C449" s="203"/>
      <c r="D449" s="203"/>
      <c r="E449" s="203"/>
      <c r="F449" s="203"/>
      <c r="G449" s="53"/>
    </row>
    <row r="450" spans="1:7">
      <c r="A450" s="204"/>
      <c r="B450" s="203"/>
      <c r="C450" s="203"/>
      <c r="D450" s="203"/>
      <c r="E450" s="203"/>
      <c r="F450" s="203"/>
      <c r="G450" s="53"/>
    </row>
    <row r="451" spans="1:7">
      <c r="A451" s="204"/>
      <c r="B451" s="203"/>
      <c r="C451" s="203"/>
      <c r="D451" s="203"/>
      <c r="E451" s="203"/>
      <c r="F451" s="203"/>
      <c r="G451" s="53"/>
    </row>
    <row r="452" spans="1:7">
      <c r="A452" s="204"/>
      <c r="B452" s="203"/>
      <c r="C452" s="203"/>
      <c r="D452" s="203"/>
      <c r="E452" s="203"/>
      <c r="F452" s="203"/>
      <c r="G452" s="53"/>
    </row>
    <row r="453" spans="1:7">
      <c r="A453" s="204"/>
      <c r="B453" s="203"/>
      <c r="C453" s="203"/>
      <c r="D453" s="203"/>
      <c r="E453" s="203"/>
      <c r="F453" s="203"/>
      <c r="G453" s="53"/>
    </row>
    <row r="454" spans="1:7">
      <c r="A454" s="204"/>
      <c r="B454" s="203"/>
      <c r="C454" s="203"/>
      <c r="D454" s="203"/>
      <c r="E454" s="203"/>
      <c r="F454" s="203"/>
      <c r="G454" s="53"/>
    </row>
    <row r="455" spans="1:7">
      <c r="A455" s="204"/>
      <c r="B455" s="203"/>
      <c r="C455" s="203"/>
      <c r="D455" s="203"/>
      <c r="E455" s="203"/>
      <c r="F455" s="203"/>
      <c r="G455" s="53"/>
    </row>
    <row r="456" spans="1:7">
      <c r="A456" s="204"/>
      <c r="B456" s="203"/>
      <c r="C456" s="203"/>
      <c r="D456" s="203"/>
      <c r="E456" s="203"/>
      <c r="F456" s="203"/>
      <c r="G456" s="53"/>
    </row>
    <row r="457" spans="1:7">
      <c r="A457" s="204"/>
      <c r="B457" s="203"/>
      <c r="C457" s="203"/>
      <c r="D457" s="203"/>
      <c r="E457" s="203"/>
      <c r="F457" s="203"/>
      <c r="G457" s="53"/>
    </row>
    <row r="458" spans="1:7">
      <c r="A458" s="204"/>
      <c r="B458" s="203"/>
      <c r="C458" s="203"/>
      <c r="D458" s="203"/>
      <c r="E458" s="203"/>
      <c r="F458" s="203"/>
      <c r="G458" s="53"/>
    </row>
    <row r="459" spans="1:7">
      <c r="A459" s="204"/>
      <c r="B459" s="203"/>
      <c r="C459" s="203"/>
      <c r="D459" s="203"/>
      <c r="E459" s="203"/>
      <c r="F459" s="203"/>
      <c r="G459" s="53"/>
    </row>
    <row r="460" spans="1:7">
      <c r="A460" s="204"/>
      <c r="B460" s="203"/>
      <c r="C460" s="203"/>
      <c r="D460" s="203"/>
      <c r="E460" s="203"/>
      <c r="F460" s="203"/>
      <c r="G460" s="53"/>
    </row>
    <row r="461" spans="1:7">
      <c r="A461" s="204"/>
      <c r="B461" s="203"/>
      <c r="C461" s="203"/>
      <c r="D461" s="203"/>
      <c r="E461" s="203"/>
      <c r="F461" s="203"/>
      <c r="G461" s="53"/>
    </row>
    <row r="462" spans="1:7">
      <c r="A462" s="204"/>
      <c r="B462" s="203"/>
      <c r="C462" s="203"/>
      <c r="D462" s="203"/>
      <c r="E462" s="203"/>
      <c r="F462" s="203"/>
      <c r="G462" s="53"/>
    </row>
    <row r="463" spans="1:7">
      <c r="A463" s="204"/>
      <c r="B463" s="203"/>
      <c r="C463" s="203"/>
      <c r="D463" s="203"/>
      <c r="E463" s="203"/>
      <c r="F463" s="203"/>
      <c r="G463" s="53"/>
    </row>
    <row r="464" spans="1:7">
      <c r="A464" s="204"/>
      <c r="B464" s="203"/>
      <c r="C464" s="203"/>
      <c r="D464" s="203"/>
      <c r="E464" s="203"/>
      <c r="F464" s="203"/>
      <c r="G464" s="53"/>
    </row>
    <row r="465" spans="1:7">
      <c r="A465" s="204"/>
      <c r="B465" s="203"/>
      <c r="C465" s="203"/>
      <c r="D465" s="203"/>
      <c r="E465" s="203"/>
      <c r="F465" s="203"/>
      <c r="G465" s="53"/>
    </row>
    <row r="466" spans="1:7">
      <c r="A466" s="204"/>
      <c r="B466" s="203"/>
      <c r="C466" s="203"/>
      <c r="D466" s="203"/>
      <c r="E466" s="203"/>
      <c r="F466" s="203"/>
      <c r="G466" s="53"/>
    </row>
    <row r="467" spans="1:7">
      <c r="A467" s="204"/>
      <c r="B467" s="203"/>
      <c r="C467" s="203"/>
      <c r="D467" s="203"/>
      <c r="E467" s="203"/>
      <c r="F467" s="203"/>
      <c r="G467" s="53"/>
    </row>
    <row r="468" spans="1:7">
      <c r="A468" s="204"/>
      <c r="B468" s="203"/>
      <c r="C468" s="203"/>
      <c r="D468" s="203"/>
      <c r="E468" s="203"/>
      <c r="F468" s="203"/>
      <c r="G468" s="53"/>
    </row>
    <row r="469" spans="1:7">
      <c r="A469" s="204"/>
      <c r="B469" s="203"/>
      <c r="C469" s="203"/>
      <c r="D469" s="203"/>
      <c r="E469" s="203"/>
      <c r="F469" s="203"/>
      <c r="G469" s="53"/>
    </row>
    <row r="470" spans="1:7">
      <c r="A470" s="204"/>
      <c r="B470" s="203"/>
      <c r="C470" s="203"/>
      <c r="D470" s="203"/>
      <c r="E470" s="203"/>
      <c r="F470" s="203"/>
      <c r="G470" s="53"/>
    </row>
    <row r="471" spans="1:7">
      <c r="A471" s="204"/>
      <c r="B471" s="203"/>
      <c r="C471" s="203"/>
      <c r="D471" s="203"/>
      <c r="E471" s="203"/>
      <c r="F471" s="203"/>
      <c r="G471" s="53"/>
    </row>
    <row r="472" spans="1:7">
      <c r="A472" s="204"/>
      <c r="B472" s="203"/>
      <c r="C472" s="203"/>
      <c r="D472" s="203"/>
      <c r="E472" s="203"/>
      <c r="F472" s="203"/>
      <c r="G472" s="53"/>
    </row>
    <row r="473" spans="1:7">
      <c r="A473" s="204"/>
      <c r="B473" s="203"/>
      <c r="C473" s="203"/>
      <c r="D473" s="203"/>
      <c r="E473" s="203"/>
      <c r="F473" s="203"/>
      <c r="G473" s="53"/>
    </row>
    <row r="474" spans="1:7">
      <c r="A474" s="204"/>
      <c r="B474" s="203"/>
      <c r="C474" s="203"/>
      <c r="D474" s="203"/>
      <c r="E474" s="203"/>
      <c r="F474" s="203"/>
      <c r="G474" s="53"/>
    </row>
    <row r="475" spans="1:7">
      <c r="A475" s="204"/>
      <c r="B475" s="203"/>
      <c r="C475" s="203"/>
      <c r="D475" s="203"/>
      <c r="E475" s="203"/>
      <c r="F475" s="203"/>
      <c r="G475" s="53"/>
    </row>
    <row r="476" spans="1:7">
      <c r="A476" s="204"/>
      <c r="B476" s="203"/>
      <c r="C476" s="203"/>
      <c r="D476" s="203"/>
      <c r="E476" s="203"/>
      <c r="F476" s="203"/>
      <c r="G476" s="53"/>
    </row>
    <row r="477" spans="1:7">
      <c r="A477" s="204"/>
      <c r="B477" s="203"/>
      <c r="C477" s="203"/>
      <c r="D477" s="203"/>
      <c r="E477" s="203"/>
      <c r="F477" s="203"/>
      <c r="G477" s="53"/>
    </row>
    <row r="478" spans="1:7">
      <c r="A478" s="204"/>
      <c r="B478" s="203"/>
      <c r="C478" s="203"/>
      <c r="D478" s="203"/>
      <c r="E478" s="203"/>
      <c r="F478" s="203"/>
    </row>
    <row r="479" spans="1:7">
      <c r="A479" s="204"/>
      <c r="B479" s="203"/>
      <c r="C479" s="203"/>
      <c r="D479" s="203"/>
      <c r="E479" s="203"/>
      <c r="F479" s="203"/>
    </row>
    <row r="480" spans="1:7">
      <c r="A480" s="204"/>
      <c r="B480" s="203"/>
      <c r="C480" s="203"/>
      <c r="D480" s="203"/>
      <c r="E480" s="203"/>
      <c r="F480" s="203"/>
    </row>
    <row r="481" spans="1:6">
      <c r="A481" s="204"/>
      <c r="B481" s="203"/>
      <c r="C481" s="203"/>
      <c r="D481" s="203"/>
      <c r="E481" s="203"/>
      <c r="F481" s="203"/>
    </row>
    <row r="482" spans="1:6">
      <c r="A482" s="204"/>
      <c r="B482" s="203"/>
      <c r="C482" s="203"/>
      <c r="D482" s="203"/>
      <c r="E482" s="203"/>
      <c r="F482" s="203"/>
    </row>
    <row r="483" spans="1:6">
      <c r="A483" s="204"/>
      <c r="B483" s="203"/>
      <c r="C483" s="203"/>
      <c r="D483" s="203"/>
      <c r="E483" s="203"/>
      <c r="F483" s="203"/>
    </row>
    <row r="484" spans="1:6">
      <c r="A484" s="204"/>
      <c r="B484" s="203"/>
      <c r="C484" s="203"/>
      <c r="D484" s="203"/>
      <c r="E484" s="203"/>
      <c r="F484" s="203"/>
    </row>
    <row r="485" spans="1:6">
      <c r="A485" s="204"/>
      <c r="B485" s="203"/>
      <c r="C485" s="203"/>
      <c r="D485" s="203"/>
      <c r="E485" s="203"/>
      <c r="F485" s="203"/>
    </row>
    <row r="486" spans="1:6">
      <c r="A486" s="204"/>
      <c r="B486" s="203"/>
      <c r="C486" s="203"/>
      <c r="D486" s="203"/>
      <c r="E486" s="203"/>
      <c r="F486" s="203"/>
    </row>
    <row r="487" spans="1:6">
      <c r="A487" s="204"/>
      <c r="B487" s="203"/>
      <c r="C487" s="203"/>
      <c r="D487" s="203"/>
      <c r="E487" s="203"/>
      <c r="F487" s="203"/>
    </row>
    <row r="488" spans="1:6">
      <c r="A488" s="204"/>
      <c r="B488" s="203"/>
      <c r="C488" s="203"/>
      <c r="D488" s="203"/>
      <c r="E488" s="203"/>
      <c r="F488" s="203"/>
    </row>
    <row r="489" spans="1:6">
      <c r="A489" s="204"/>
      <c r="B489" s="203"/>
      <c r="C489" s="203"/>
      <c r="D489" s="203"/>
      <c r="E489" s="203"/>
      <c r="F489" s="203"/>
    </row>
    <row r="490" spans="1:6">
      <c r="A490" s="204"/>
      <c r="B490" s="203"/>
      <c r="C490" s="203"/>
      <c r="D490" s="203"/>
      <c r="E490" s="203"/>
      <c r="F490" s="203"/>
    </row>
    <row r="491" spans="1:6">
      <c r="A491" s="204"/>
      <c r="B491" s="203"/>
      <c r="C491" s="203"/>
      <c r="D491" s="203"/>
      <c r="E491" s="203"/>
      <c r="F491" s="203"/>
    </row>
    <row r="492" spans="1:6">
      <c r="A492" s="204"/>
      <c r="B492" s="203"/>
      <c r="C492" s="203"/>
      <c r="D492" s="203"/>
      <c r="E492" s="203"/>
      <c r="F492" s="203"/>
    </row>
    <row r="493" spans="1:6">
      <c r="A493" s="204"/>
      <c r="B493" s="203"/>
      <c r="C493" s="203"/>
      <c r="D493" s="203"/>
      <c r="E493" s="203"/>
      <c r="F493" s="203"/>
    </row>
    <row r="494" spans="1:6">
      <c r="A494" s="204"/>
      <c r="B494" s="203"/>
      <c r="C494" s="203"/>
      <c r="D494" s="203"/>
      <c r="E494" s="203"/>
      <c r="F494" s="203"/>
    </row>
    <row r="495" spans="1:6">
      <c r="A495" s="204"/>
      <c r="B495" s="203"/>
      <c r="C495" s="203"/>
      <c r="D495" s="203"/>
      <c r="E495" s="203"/>
      <c r="F495" s="203"/>
    </row>
    <row r="496" spans="1:6">
      <c r="A496" s="204"/>
      <c r="B496" s="203"/>
      <c r="C496" s="203"/>
      <c r="D496" s="203"/>
      <c r="E496" s="203"/>
      <c r="F496" s="203"/>
    </row>
    <row r="497" spans="1:6">
      <c r="A497" s="204"/>
      <c r="B497" s="203"/>
      <c r="C497" s="203"/>
      <c r="D497" s="203"/>
      <c r="E497" s="203"/>
      <c r="F497" s="203"/>
    </row>
    <row r="498" spans="1:6">
      <c r="A498" s="204"/>
      <c r="B498" s="203"/>
      <c r="C498" s="203"/>
      <c r="D498" s="203"/>
      <c r="E498" s="203"/>
      <c r="F498" s="203"/>
    </row>
    <row r="499" spans="1:6">
      <c r="A499" s="204"/>
      <c r="B499" s="203"/>
      <c r="C499" s="203"/>
      <c r="D499" s="203"/>
      <c r="E499" s="203"/>
      <c r="F499" s="203"/>
    </row>
    <row r="500" spans="1:6">
      <c r="A500" s="204"/>
      <c r="B500" s="203"/>
      <c r="C500" s="203"/>
      <c r="D500" s="203"/>
      <c r="E500" s="203"/>
      <c r="F500" s="203"/>
    </row>
    <row r="501" spans="1:6">
      <c r="A501" s="204"/>
      <c r="B501" s="203"/>
      <c r="C501" s="203"/>
      <c r="D501" s="203"/>
      <c r="E501" s="203"/>
      <c r="F501" s="203"/>
    </row>
    <row r="502" spans="1:6">
      <c r="A502" s="204"/>
      <c r="B502" s="203"/>
      <c r="C502" s="203"/>
      <c r="D502" s="203"/>
      <c r="E502" s="203"/>
      <c r="F502" s="203"/>
    </row>
    <row r="503" spans="1:6">
      <c r="A503" s="204"/>
      <c r="B503" s="203"/>
      <c r="C503" s="203"/>
      <c r="D503" s="203"/>
      <c r="E503" s="203"/>
      <c r="F503" s="203"/>
    </row>
    <row r="504" spans="1:6">
      <c r="A504" s="204"/>
      <c r="B504" s="203"/>
      <c r="C504" s="203"/>
      <c r="D504" s="203"/>
      <c r="E504" s="203"/>
      <c r="F504" s="203"/>
    </row>
    <row r="505" spans="1:6">
      <c r="A505" s="204"/>
      <c r="B505" s="203"/>
      <c r="C505" s="203"/>
      <c r="D505" s="203"/>
      <c r="E505" s="203"/>
      <c r="F505" s="203"/>
    </row>
    <row r="506" spans="1:6">
      <c r="A506" s="204"/>
      <c r="B506" s="203"/>
      <c r="C506" s="203"/>
      <c r="D506" s="203"/>
      <c r="E506" s="203"/>
      <c r="F506" s="203"/>
    </row>
    <row r="507" spans="1:6">
      <c r="A507" s="204"/>
      <c r="B507" s="203"/>
      <c r="C507" s="203"/>
      <c r="D507" s="203"/>
      <c r="E507" s="203"/>
      <c r="F507" s="203"/>
    </row>
    <row r="508" spans="1:6">
      <c r="A508" s="204"/>
      <c r="B508" s="203"/>
      <c r="C508" s="203"/>
      <c r="D508" s="203"/>
      <c r="E508" s="203"/>
      <c r="F508" s="203"/>
    </row>
    <row r="509" spans="1:6">
      <c r="A509" s="204"/>
      <c r="B509" s="203"/>
      <c r="C509" s="203"/>
      <c r="D509" s="203"/>
      <c r="E509" s="203"/>
      <c r="F509" s="203"/>
    </row>
    <row r="510" spans="1:6">
      <c r="A510" s="204"/>
      <c r="B510" s="203"/>
      <c r="C510" s="203"/>
      <c r="D510" s="203"/>
      <c r="E510" s="203"/>
      <c r="F510" s="203"/>
    </row>
    <row r="511" spans="1:6">
      <c r="A511" s="204"/>
      <c r="B511" s="203"/>
      <c r="C511" s="203"/>
      <c r="D511" s="203"/>
      <c r="E511" s="203"/>
      <c r="F511" s="203"/>
    </row>
    <row r="512" spans="1:6">
      <c r="A512" s="204"/>
      <c r="B512" s="203"/>
      <c r="C512" s="203"/>
      <c r="D512" s="203"/>
      <c r="E512" s="203"/>
      <c r="F512" s="203"/>
    </row>
    <row r="513" spans="1:6">
      <c r="A513" s="204"/>
      <c r="B513" s="203"/>
      <c r="C513" s="203"/>
      <c r="D513" s="203"/>
      <c r="E513" s="203"/>
      <c r="F513" s="203"/>
    </row>
    <row r="514" spans="1:6">
      <c r="A514" s="204"/>
      <c r="B514" s="203"/>
      <c r="C514" s="203"/>
      <c r="D514" s="203"/>
      <c r="E514" s="203"/>
      <c r="F514" s="203"/>
    </row>
    <row r="515" spans="1:6">
      <c r="A515" s="204"/>
      <c r="B515" s="203"/>
      <c r="C515" s="203"/>
      <c r="D515" s="203"/>
      <c r="E515" s="203"/>
      <c r="F515" s="203"/>
    </row>
    <row r="516" spans="1:6">
      <c r="A516" s="204"/>
      <c r="B516" s="203"/>
      <c r="C516" s="203"/>
      <c r="D516" s="203"/>
      <c r="E516" s="203"/>
      <c r="F516" s="203"/>
    </row>
    <row r="517" spans="1:6">
      <c r="A517" s="204"/>
      <c r="B517" s="203"/>
      <c r="C517" s="203"/>
      <c r="D517" s="203"/>
      <c r="E517" s="203"/>
      <c r="F517" s="203"/>
    </row>
    <row r="518" spans="1:6">
      <c r="A518" s="204"/>
      <c r="B518" s="203"/>
      <c r="C518" s="203"/>
      <c r="D518" s="203"/>
      <c r="E518" s="203"/>
      <c r="F518" s="203"/>
    </row>
    <row r="519" spans="1:6">
      <c r="A519" s="204"/>
      <c r="B519" s="203"/>
      <c r="C519" s="203"/>
      <c r="D519" s="203"/>
      <c r="E519" s="203"/>
      <c r="F519" s="203"/>
    </row>
    <row r="520" spans="1:6">
      <c r="A520" s="204"/>
      <c r="B520" s="203"/>
      <c r="C520" s="203"/>
      <c r="D520" s="203"/>
      <c r="E520" s="203"/>
      <c r="F520" s="203"/>
    </row>
    <row r="521" spans="1:6">
      <c r="A521" s="204"/>
      <c r="B521" s="203"/>
      <c r="C521" s="203"/>
      <c r="D521" s="203"/>
      <c r="E521" s="203"/>
      <c r="F521" s="203"/>
    </row>
    <row r="522" spans="1:6">
      <c r="A522" s="204"/>
      <c r="B522" s="203"/>
      <c r="C522" s="203"/>
      <c r="D522" s="203"/>
      <c r="E522" s="203"/>
      <c r="F522" s="203"/>
    </row>
    <row r="523" spans="1:6">
      <c r="A523" s="204"/>
      <c r="B523" s="203"/>
      <c r="C523" s="203"/>
      <c r="D523" s="203"/>
      <c r="E523" s="203"/>
      <c r="F523" s="203"/>
    </row>
    <row r="524" spans="1:6">
      <c r="A524" s="204"/>
      <c r="B524" s="203"/>
      <c r="C524" s="203"/>
      <c r="D524" s="203"/>
      <c r="E524" s="203"/>
      <c r="F524" s="203"/>
    </row>
    <row r="525" spans="1:6">
      <c r="A525" s="204"/>
      <c r="B525" s="203"/>
      <c r="C525" s="203"/>
      <c r="D525" s="203"/>
      <c r="E525" s="203"/>
      <c r="F525" s="203"/>
    </row>
    <row r="526" spans="1:6">
      <c r="A526" s="204"/>
      <c r="B526" s="203"/>
      <c r="C526" s="203"/>
      <c r="D526" s="203"/>
      <c r="E526" s="203"/>
      <c r="F526" s="203"/>
    </row>
    <row r="527" spans="1:6">
      <c r="A527" s="204"/>
      <c r="B527" s="203"/>
      <c r="C527" s="203"/>
      <c r="D527" s="203"/>
      <c r="E527" s="203"/>
      <c r="F527" s="203"/>
    </row>
    <row r="528" spans="1:6">
      <c r="A528" s="204"/>
      <c r="B528" s="203"/>
      <c r="C528" s="203"/>
      <c r="D528" s="203"/>
      <c r="E528" s="203"/>
      <c r="F528" s="203"/>
    </row>
    <row r="529" spans="1:6">
      <c r="A529" s="204"/>
      <c r="B529" s="203"/>
      <c r="C529" s="203"/>
      <c r="D529" s="203"/>
      <c r="E529" s="203"/>
      <c r="F529" s="203"/>
    </row>
    <row r="530" spans="1:6">
      <c r="A530" s="204"/>
      <c r="B530" s="203"/>
      <c r="C530" s="203"/>
      <c r="D530" s="203"/>
      <c r="E530" s="203"/>
      <c r="F530" s="203"/>
    </row>
    <row r="531" spans="1:6">
      <c r="A531" s="204"/>
      <c r="B531" s="203"/>
      <c r="C531" s="203"/>
      <c r="D531" s="203"/>
      <c r="E531" s="203"/>
      <c r="F531" s="203"/>
    </row>
    <row r="532" spans="1:6">
      <c r="A532" s="204"/>
      <c r="B532" s="203"/>
      <c r="C532" s="203"/>
      <c r="D532" s="203"/>
      <c r="E532" s="203"/>
      <c r="F532" s="203"/>
    </row>
    <row r="533" spans="1:6">
      <c r="A533" s="204"/>
      <c r="B533" s="203"/>
      <c r="C533" s="203"/>
      <c r="D533" s="203"/>
      <c r="E533" s="203"/>
      <c r="F533" s="203"/>
    </row>
    <row r="534" spans="1:6">
      <c r="A534" s="204"/>
      <c r="B534" s="203"/>
      <c r="C534" s="203"/>
      <c r="D534" s="203"/>
      <c r="E534" s="203"/>
      <c r="F534" s="203"/>
    </row>
    <row r="535" spans="1:6">
      <c r="A535" s="204"/>
      <c r="B535" s="203"/>
      <c r="C535" s="203"/>
      <c r="D535" s="203"/>
      <c r="E535" s="203"/>
      <c r="F535" s="203"/>
    </row>
    <row r="536" spans="1:6">
      <c r="A536" s="204"/>
      <c r="B536" s="203"/>
      <c r="C536" s="203"/>
      <c r="D536" s="203"/>
      <c r="E536" s="203"/>
      <c r="F536" s="203"/>
    </row>
    <row r="537" spans="1:6">
      <c r="A537" s="204"/>
      <c r="B537" s="203"/>
      <c r="C537" s="203"/>
      <c r="D537" s="203"/>
      <c r="E537" s="203"/>
      <c r="F537" s="203"/>
    </row>
    <row r="538" spans="1:6">
      <c r="A538" s="204"/>
      <c r="B538" s="203"/>
      <c r="C538" s="203"/>
      <c r="D538" s="203"/>
      <c r="E538" s="203"/>
      <c r="F538" s="203"/>
    </row>
    <row r="539" spans="1:6">
      <c r="A539" s="204"/>
      <c r="B539" s="203"/>
      <c r="C539" s="203"/>
      <c r="D539" s="203"/>
      <c r="E539" s="203"/>
      <c r="F539" s="203"/>
    </row>
    <row r="540" spans="1:6">
      <c r="A540" s="204"/>
      <c r="B540" s="203"/>
      <c r="C540" s="203"/>
      <c r="D540" s="203"/>
      <c r="E540" s="203"/>
      <c r="F540" s="203"/>
    </row>
    <row r="541" spans="1:6">
      <c r="A541" s="204"/>
      <c r="B541" s="203"/>
      <c r="C541" s="203"/>
      <c r="D541" s="203"/>
      <c r="E541" s="203"/>
      <c r="F541" s="203"/>
    </row>
    <row r="542" spans="1:6">
      <c r="A542" s="204"/>
      <c r="B542" s="203"/>
      <c r="C542" s="203"/>
      <c r="D542" s="203"/>
      <c r="E542" s="203"/>
      <c r="F542" s="203"/>
    </row>
    <row r="543" spans="1:6">
      <c r="A543" s="204"/>
      <c r="B543" s="203"/>
      <c r="C543" s="203"/>
      <c r="D543" s="203"/>
      <c r="E543" s="203"/>
      <c r="F543" s="203"/>
    </row>
    <row r="544" spans="1:6">
      <c r="A544" s="204"/>
      <c r="B544" s="203"/>
      <c r="C544" s="203"/>
      <c r="D544" s="203"/>
      <c r="E544" s="203"/>
      <c r="F544" s="203"/>
    </row>
    <row r="545" spans="1:6">
      <c r="A545" s="204"/>
      <c r="B545" s="203"/>
      <c r="C545" s="203"/>
      <c r="D545" s="203"/>
      <c r="E545" s="203"/>
      <c r="F545" s="203"/>
    </row>
    <row r="546" spans="1:6">
      <c r="A546" s="204"/>
      <c r="B546" s="203"/>
      <c r="C546" s="203"/>
      <c r="D546" s="203"/>
      <c r="E546" s="203"/>
      <c r="F546" s="203"/>
    </row>
    <row r="547" spans="1:6">
      <c r="A547" s="204"/>
      <c r="B547" s="203"/>
      <c r="C547" s="203"/>
      <c r="D547" s="203"/>
      <c r="E547" s="203"/>
      <c r="F547" s="203"/>
    </row>
    <row r="548" spans="1:6">
      <c r="A548" s="204"/>
      <c r="B548" s="203"/>
      <c r="C548" s="203"/>
      <c r="D548" s="203"/>
      <c r="E548" s="203"/>
      <c r="F548" s="203"/>
    </row>
    <row r="549" spans="1:6">
      <c r="A549" s="204"/>
      <c r="B549" s="203"/>
      <c r="C549" s="203"/>
      <c r="D549" s="203"/>
      <c r="E549" s="203"/>
      <c r="F549" s="203"/>
    </row>
    <row r="550" spans="1:6">
      <c r="A550" s="204"/>
      <c r="B550" s="203"/>
      <c r="C550" s="203"/>
      <c r="D550" s="203"/>
      <c r="E550" s="203"/>
      <c r="F550" s="203"/>
    </row>
    <row r="551" spans="1:6">
      <c r="A551" s="204"/>
      <c r="B551" s="203"/>
      <c r="C551" s="203"/>
      <c r="D551" s="203"/>
      <c r="E551" s="203"/>
      <c r="F551" s="203"/>
    </row>
    <row r="552" spans="1:6">
      <c r="A552" s="204"/>
      <c r="B552" s="203"/>
      <c r="C552" s="203"/>
      <c r="D552" s="203"/>
      <c r="E552" s="203"/>
      <c r="F552" s="203"/>
    </row>
    <row r="553" spans="1:6">
      <c r="A553" s="204"/>
      <c r="B553" s="203"/>
      <c r="C553" s="203"/>
      <c r="D553" s="203"/>
      <c r="E553" s="203"/>
      <c r="F553" s="203"/>
    </row>
    <row r="554" spans="1:6">
      <c r="A554" s="204"/>
      <c r="B554" s="203"/>
      <c r="C554" s="203"/>
      <c r="D554" s="203"/>
      <c r="E554" s="203"/>
      <c r="F554" s="203"/>
    </row>
    <row r="555" spans="1:6">
      <c r="A555" s="204"/>
      <c r="B555" s="203"/>
      <c r="C555" s="203"/>
      <c r="D555" s="203"/>
      <c r="E555" s="203"/>
      <c r="F555" s="203"/>
    </row>
    <row r="556" spans="1:6">
      <c r="A556" s="204"/>
      <c r="B556" s="203"/>
      <c r="C556" s="203"/>
      <c r="D556" s="203"/>
      <c r="E556" s="203"/>
      <c r="F556" s="203"/>
    </row>
    <row r="557" spans="1:6">
      <c r="A557" s="204"/>
      <c r="B557" s="203"/>
      <c r="C557" s="203"/>
      <c r="D557" s="203"/>
      <c r="E557" s="203"/>
      <c r="F557" s="203"/>
    </row>
    <row r="558" spans="1:6">
      <c r="A558" s="204"/>
      <c r="B558" s="203"/>
      <c r="C558" s="203"/>
      <c r="D558" s="203"/>
      <c r="E558" s="203"/>
      <c r="F558" s="203"/>
    </row>
    <row r="559" spans="1:6">
      <c r="A559" s="204"/>
      <c r="B559" s="203"/>
      <c r="C559" s="203"/>
      <c r="D559" s="203"/>
      <c r="E559" s="203"/>
      <c r="F559" s="203"/>
    </row>
    <row r="560" spans="1:6">
      <c r="A560" s="204"/>
      <c r="B560" s="203"/>
      <c r="C560" s="203"/>
      <c r="D560" s="203"/>
      <c r="E560" s="203"/>
      <c r="F560" s="203"/>
    </row>
    <row r="561" spans="1:6">
      <c r="A561" s="204"/>
      <c r="B561" s="203"/>
      <c r="C561" s="203"/>
      <c r="D561" s="203"/>
      <c r="E561" s="203"/>
      <c r="F561" s="203"/>
    </row>
    <row r="562" spans="1:6">
      <c r="A562" s="204"/>
      <c r="B562" s="203"/>
      <c r="C562" s="203"/>
      <c r="D562" s="203"/>
      <c r="E562" s="203"/>
      <c r="F562" s="203"/>
    </row>
    <row r="563" spans="1:6">
      <c r="A563" s="204"/>
      <c r="B563" s="203"/>
      <c r="C563" s="203"/>
      <c r="D563" s="203"/>
      <c r="E563" s="203"/>
      <c r="F563" s="203"/>
    </row>
    <row r="564" spans="1:6">
      <c r="A564" s="204"/>
      <c r="B564" s="203"/>
      <c r="C564" s="203"/>
      <c r="D564" s="203"/>
      <c r="E564" s="203"/>
      <c r="F564" s="203"/>
    </row>
    <row r="565" spans="1:6">
      <c r="A565" s="204"/>
      <c r="B565" s="203"/>
      <c r="C565" s="203"/>
      <c r="D565" s="203"/>
      <c r="E565" s="203"/>
      <c r="F565" s="203"/>
    </row>
    <row r="566" spans="1:6">
      <c r="A566" s="204"/>
      <c r="B566" s="203"/>
      <c r="C566" s="203"/>
      <c r="D566" s="203"/>
      <c r="E566" s="203"/>
      <c r="F566" s="203"/>
    </row>
    <row r="567" spans="1:6">
      <c r="A567" s="204"/>
      <c r="B567" s="203"/>
      <c r="C567" s="203"/>
      <c r="D567" s="203"/>
      <c r="E567" s="203"/>
      <c r="F567" s="203"/>
    </row>
    <row r="568" spans="1:6">
      <c r="A568" s="204"/>
      <c r="B568" s="203"/>
      <c r="C568" s="203"/>
      <c r="D568" s="203"/>
      <c r="E568" s="203"/>
      <c r="F568" s="203"/>
    </row>
    <row r="569" spans="1:6">
      <c r="A569" s="204"/>
      <c r="B569" s="203"/>
      <c r="C569" s="203"/>
      <c r="D569" s="203"/>
      <c r="E569" s="203"/>
      <c r="F569" s="203"/>
    </row>
    <row r="570" spans="1:6">
      <c r="A570" s="204"/>
      <c r="B570" s="203"/>
      <c r="C570" s="203"/>
      <c r="D570" s="203"/>
      <c r="E570" s="203"/>
      <c r="F570" s="203"/>
    </row>
    <row r="571" spans="1:6">
      <c r="A571" s="204"/>
      <c r="B571" s="203"/>
      <c r="C571" s="203"/>
      <c r="D571" s="203"/>
      <c r="E571" s="203"/>
      <c r="F571" s="203"/>
    </row>
    <row r="572" spans="1:6">
      <c r="A572" s="204"/>
      <c r="B572" s="203"/>
      <c r="C572" s="203"/>
      <c r="D572" s="203"/>
      <c r="E572" s="203"/>
      <c r="F572" s="203"/>
    </row>
    <row r="573" spans="1:6">
      <c r="A573" s="204"/>
      <c r="B573" s="203"/>
      <c r="C573" s="203"/>
      <c r="D573" s="203"/>
      <c r="E573" s="203"/>
      <c r="F573" s="203"/>
    </row>
    <row r="574" spans="1:6">
      <c r="A574" s="204"/>
      <c r="B574" s="203"/>
      <c r="C574" s="203"/>
      <c r="D574" s="203"/>
      <c r="E574" s="203"/>
      <c r="F574" s="203"/>
    </row>
    <row r="575" spans="1:6">
      <c r="A575" s="204"/>
      <c r="B575" s="203"/>
      <c r="C575" s="203"/>
      <c r="D575" s="203"/>
      <c r="E575" s="203"/>
      <c r="F575" s="203"/>
    </row>
    <row r="576" spans="1:6">
      <c r="A576" s="204"/>
      <c r="B576" s="203"/>
      <c r="C576" s="203"/>
      <c r="D576" s="203"/>
      <c r="E576" s="203"/>
      <c r="F576" s="203"/>
    </row>
    <row r="577" spans="1:6">
      <c r="A577" s="204"/>
      <c r="B577" s="203"/>
      <c r="C577" s="203"/>
      <c r="D577" s="203"/>
      <c r="E577" s="203"/>
      <c r="F577" s="203"/>
    </row>
    <row r="578" spans="1:6">
      <c r="A578" s="204"/>
      <c r="B578" s="203"/>
      <c r="C578" s="203"/>
      <c r="D578" s="203"/>
      <c r="E578" s="203"/>
      <c r="F578" s="203"/>
    </row>
    <row r="579" spans="1:6">
      <c r="A579" s="204"/>
      <c r="B579" s="203"/>
      <c r="C579" s="203"/>
      <c r="D579" s="203"/>
      <c r="E579" s="203"/>
      <c r="F579" s="203"/>
    </row>
    <row r="580" spans="1:6">
      <c r="A580" s="204"/>
      <c r="B580" s="203"/>
      <c r="C580" s="203"/>
      <c r="D580" s="203"/>
      <c r="E580" s="203"/>
      <c r="F580" s="203"/>
    </row>
    <row r="581" spans="1:6">
      <c r="A581" s="204"/>
      <c r="B581" s="203"/>
      <c r="C581" s="203"/>
      <c r="D581" s="203"/>
      <c r="E581" s="203"/>
      <c r="F581" s="203"/>
    </row>
    <row r="582" spans="1:6">
      <c r="A582" s="204"/>
      <c r="B582" s="203"/>
      <c r="C582" s="203"/>
      <c r="D582" s="203"/>
      <c r="E582" s="203"/>
      <c r="F582" s="203"/>
    </row>
    <row r="583" spans="1:6">
      <c r="A583" s="204"/>
      <c r="B583" s="203"/>
      <c r="C583" s="203"/>
      <c r="D583" s="203"/>
      <c r="E583" s="203"/>
      <c r="F583" s="203"/>
    </row>
    <row r="584" spans="1:6">
      <c r="A584" s="204"/>
      <c r="B584" s="203"/>
      <c r="C584" s="203"/>
      <c r="D584" s="203"/>
      <c r="E584" s="203"/>
      <c r="F584" s="203"/>
    </row>
    <row r="585" spans="1:6">
      <c r="A585" s="204"/>
      <c r="B585" s="203"/>
      <c r="C585" s="203"/>
      <c r="D585" s="203"/>
      <c r="E585" s="203"/>
      <c r="F585" s="203"/>
    </row>
    <row r="586" spans="1:6">
      <c r="A586" s="204"/>
      <c r="B586" s="203"/>
      <c r="C586" s="203"/>
      <c r="D586" s="203"/>
      <c r="E586" s="203"/>
      <c r="F586" s="203"/>
    </row>
    <row r="587" spans="1:6">
      <c r="A587" s="204"/>
      <c r="B587" s="203"/>
      <c r="C587" s="203"/>
      <c r="D587" s="203"/>
      <c r="E587" s="203"/>
      <c r="F587" s="203"/>
    </row>
    <row r="588" spans="1:6">
      <c r="A588" s="204"/>
      <c r="B588" s="203"/>
      <c r="C588" s="203"/>
      <c r="D588" s="203"/>
      <c r="E588" s="203"/>
      <c r="F588" s="203"/>
    </row>
    <row r="589" spans="1:6">
      <c r="A589" s="204"/>
      <c r="B589" s="203"/>
      <c r="C589" s="203"/>
      <c r="D589" s="203"/>
      <c r="E589" s="203"/>
      <c r="F589" s="203"/>
    </row>
    <row r="590" spans="1:6">
      <c r="A590" s="204"/>
      <c r="B590" s="203"/>
      <c r="C590" s="203"/>
      <c r="D590" s="203"/>
      <c r="E590" s="203"/>
      <c r="F590" s="203"/>
    </row>
    <row r="591" spans="1:6">
      <c r="A591" s="204"/>
      <c r="B591" s="203"/>
      <c r="C591" s="203"/>
      <c r="D591" s="203"/>
      <c r="E591" s="203"/>
      <c r="F591" s="203"/>
    </row>
    <row r="592" spans="1:6">
      <c r="A592" s="204"/>
      <c r="B592" s="203"/>
      <c r="C592" s="203"/>
      <c r="D592" s="203"/>
      <c r="E592" s="203"/>
      <c r="F592" s="203"/>
    </row>
    <row r="593" spans="1:6">
      <c r="A593" s="204"/>
      <c r="B593" s="203"/>
      <c r="C593" s="203"/>
      <c r="D593" s="203"/>
      <c r="E593" s="203"/>
      <c r="F593" s="203"/>
    </row>
    <row r="594" spans="1:6">
      <c r="A594" s="204"/>
      <c r="B594" s="203"/>
      <c r="C594" s="203"/>
      <c r="D594" s="203"/>
      <c r="E594" s="203"/>
      <c r="F594" s="203"/>
    </row>
    <row r="595" spans="1:6">
      <c r="A595" s="204"/>
      <c r="B595" s="203"/>
      <c r="C595" s="203"/>
      <c r="D595" s="203"/>
      <c r="E595" s="203"/>
      <c r="F595" s="203"/>
    </row>
    <row r="596" spans="1:6">
      <c r="A596" s="204"/>
      <c r="B596" s="203"/>
      <c r="C596" s="203"/>
      <c r="D596" s="203"/>
      <c r="E596" s="203"/>
      <c r="F596" s="203"/>
    </row>
    <row r="597" spans="1:6">
      <c r="A597" s="204"/>
      <c r="B597" s="203"/>
      <c r="C597" s="203"/>
      <c r="D597" s="203"/>
      <c r="E597" s="203"/>
      <c r="F597" s="203"/>
    </row>
    <row r="598" spans="1:6">
      <c r="A598" s="204"/>
      <c r="B598" s="203"/>
      <c r="C598" s="203"/>
      <c r="D598" s="203"/>
      <c r="E598" s="203"/>
      <c r="F598" s="203"/>
    </row>
    <row r="599" spans="1:6">
      <c r="A599" s="204"/>
      <c r="B599" s="203"/>
      <c r="C599" s="203"/>
      <c r="D599" s="203"/>
      <c r="E599" s="203"/>
      <c r="F599" s="203"/>
    </row>
    <row r="600" spans="1:6">
      <c r="A600" s="204"/>
      <c r="B600" s="203"/>
      <c r="C600" s="203"/>
      <c r="D600" s="203"/>
      <c r="E600" s="203"/>
      <c r="F600" s="203"/>
    </row>
    <row r="601" spans="1:6">
      <c r="A601" s="204"/>
      <c r="B601" s="203"/>
      <c r="C601" s="203"/>
      <c r="D601" s="203"/>
      <c r="E601" s="203"/>
      <c r="F601" s="203"/>
    </row>
    <row r="602" spans="1:6">
      <c r="A602" s="204"/>
      <c r="B602" s="203"/>
      <c r="C602" s="203"/>
      <c r="D602" s="203"/>
      <c r="E602" s="203"/>
      <c r="F602" s="203"/>
    </row>
    <row r="603" spans="1:6">
      <c r="A603" s="204"/>
      <c r="B603" s="203"/>
      <c r="C603" s="203"/>
      <c r="D603" s="203"/>
      <c r="E603" s="203"/>
      <c r="F603" s="203"/>
    </row>
    <row r="604" spans="1:6">
      <c r="A604" s="204"/>
      <c r="B604" s="203"/>
      <c r="C604" s="203"/>
      <c r="D604" s="203"/>
      <c r="E604" s="203"/>
      <c r="F604" s="203"/>
    </row>
    <row r="605" spans="1:6">
      <c r="A605" s="204"/>
      <c r="B605" s="203"/>
      <c r="C605" s="203"/>
      <c r="D605" s="203"/>
      <c r="E605" s="203"/>
      <c r="F605" s="203"/>
    </row>
    <row r="606" spans="1:6">
      <c r="A606" s="204"/>
      <c r="B606" s="203"/>
      <c r="C606" s="203"/>
      <c r="D606" s="203"/>
      <c r="E606" s="203"/>
      <c r="F606" s="203"/>
    </row>
    <row r="607" spans="1:6">
      <c r="A607" s="204"/>
      <c r="B607" s="203"/>
      <c r="C607" s="203"/>
      <c r="D607" s="203"/>
      <c r="E607" s="203"/>
      <c r="F607" s="203"/>
    </row>
    <row r="608" spans="1:6">
      <c r="A608" s="204"/>
      <c r="B608" s="203"/>
      <c r="C608" s="203"/>
      <c r="D608" s="203"/>
      <c r="E608" s="203"/>
      <c r="F608" s="203"/>
    </row>
    <row r="609" spans="1:6">
      <c r="A609" s="204"/>
      <c r="B609" s="203"/>
      <c r="C609" s="203"/>
      <c r="D609" s="203"/>
      <c r="E609" s="203"/>
      <c r="F609" s="203"/>
    </row>
    <row r="610" spans="1:6">
      <c r="A610" s="204"/>
      <c r="B610" s="203"/>
      <c r="C610" s="203"/>
      <c r="D610" s="203"/>
      <c r="E610" s="203"/>
      <c r="F610" s="203"/>
    </row>
    <row r="611" spans="1:6">
      <c r="A611" s="204"/>
      <c r="B611" s="203"/>
      <c r="C611" s="203"/>
      <c r="D611" s="203"/>
      <c r="E611" s="203"/>
      <c r="F611" s="203"/>
    </row>
    <row r="612" spans="1:6">
      <c r="A612" s="204"/>
      <c r="B612" s="203"/>
      <c r="C612" s="203"/>
      <c r="D612" s="203"/>
      <c r="E612" s="203"/>
      <c r="F612" s="203"/>
    </row>
    <row r="613" spans="1:6">
      <c r="A613" s="204"/>
      <c r="B613" s="203"/>
      <c r="C613" s="203"/>
      <c r="D613" s="203"/>
      <c r="E613" s="203"/>
      <c r="F613" s="203"/>
    </row>
    <row r="614" spans="1:6">
      <c r="A614" s="204"/>
      <c r="B614" s="203"/>
      <c r="C614" s="203"/>
      <c r="D614" s="203"/>
      <c r="E614" s="203"/>
      <c r="F614" s="203"/>
    </row>
    <row r="615" spans="1:6">
      <c r="A615" s="204"/>
      <c r="B615" s="203"/>
      <c r="C615" s="203"/>
      <c r="D615" s="203"/>
      <c r="E615" s="203"/>
      <c r="F615" s="203"/>
    </row>
    <row r="616" spans="1:6">
      <c r="A616" s="204"/>
      <c r="B616" s="203"/>
      <c r="C616" s="203"/>
      <c r="D616" s="203"/>
      <c r="E616" s="203"/>
      <c r="F616" s="203"/>
    </row>
    <row r="617" spans="1:6">
      <c r="A617" s="204"/>
      <c r="B617" s="203"/>
      <c r="C617" s="203"/>
      <c r="D617" s="203"/>
      <c r="E617" s="203"/>
      <c r="F617" s="203"/>
    </row>
    <row r="618" spans="1:6">
      <c r="A618" s="204"/>
      <c r="B618" s="203"/>
      <c r="C618" s="203"/>
      <c r="D618" s="203"/>
      <c r="E618" s="203"/>
      <c r="F618" s="203"/>
    </row>
    <row r="619" spans="1:6">
      <c r="A619" s="204"/>
      <c r="B619" s="203"/>
      <c r="C619" s="203"/>
      <c r="D619" s="203"/>
      <c r="E619" s="203"/>
      <c r="F619" s="203"/>
    </row>
    <row r="620" spans="1:6">
      <c r="A620" s="204"/>
      <c r="B620" s="203"/>
      <c r="C620" s="203"/>
      <c r="D620" s="203"/>
      <c r="E620" s="203"/>
      <c r="F620" s="203"/>
    </row>
    <row r="621" spans="1:6">
      <c r="A621" s="204"/>
      <c r="B621" s="203"/>
      <c r="C621" s="203"/>
      <c r="D621" s="203"/>
      <c r="E621" s="203"/>
      <c r="F621" s="203"/>
    </row>
    <row r="622" spans="1:6">
      <c r="A622" s="204"/>
      <c r="B622" s="203"/>
      <c r="C622" s="203"/>
      <c r="D622" s="203"/>
      <c r="E622" s="203"/>
      <c r="F622" s="203"/>
    </row>
    <row r="623" spans="1:6">
      <c r="A623" s="204"/>
      <c r="B623" s="203"/>
      <c r="C623" s="203"/>
      <c r="D623" s="203"/>
      <c r="E623" s="203"/>
      <c r="F623" s="203"/>
    </row>
    <row r="624" spans="1:6">
      <c r="A624" s="204"/>
      <c r="B624" s="203"/>
      <c r="C624" s="203"/>
      <c r="D624" s="203"/>
      <c r="E624" s="203"/>
      <c r="F624" s="203"/>
    </row>
    <row r="625" spans="1:6">
      <c r="A625" s="204"/>
      <c r="B625" s="203"/>
      <c r="C625" s="203"/>
      <c r="D625" s="203"/>
      <c r="E625" s="203"/>
      <c r="F625" s="203"/>
    </row>
    <row r="626" spans="1:6">
      <c r="A626" s="204"/>
      <c r="B626" s="203"/>
      <c r="C626" s="203"/>
      <c r="D626" s="203"/>
      <c r="E626" s="203"/>
      <c r="F626" s="203"/>
    </row>
    <row r="627" spans="1:6">
      <c r="A627" s="204"/>
      <c r="B627" s="203"/>
      <c r="C627" s="203"/>
      <c r="D627" s="203"/>
      <c r="E627" s="203"/>
      <c r="F627" s="203"/>
    </row>
    <row r="628" spans="1:6">
      <c r="A628" s="204"/>
      <c r="B628" s="203"/>
      <c r="C628" s="203"/>
      <c r="D628" s="203"/>
      <c r="E628" s="203"/>
      <c r="F628" s="203"/>
    </row>
    <row r="629" spans="1:6">
      <c r="A629" s="204"/>
      <c r="B629" s="203"/>
      <c r="C629" s="203"/>
      <c r="D629" s="203"/>
      <c r="E629" s="203"/>
      <c r="F629" s="203"/>
    </row>
    <row r="630" spans="1:6">
      <c r="A630" s="204"/>
      <c r="B630" s="203"/>
      <c r="C630" s="203"/>
      <c r="D630" s="203"/>
      <c r="E630" s="203"/>
      <c r="F630" s="203"/>
    </row>
    <row r="631" spans="1:6">
      <c r="A631" s="204"/>
      <c r="B631" s="203"/>
      <c r="C631" s="203"/>
      <c r="D631" s="203"/>
      <c r="E631" s="203"/>
      <c r="F631" s="203"/>
    </row>
    <row r="632" spans="1:6">
      <c r="A632" s="204"/>
      <c r="B632" s="203"/>
      <c r="C632" s="203"/>
      <c r="D632" s="203"/>
      <c r="E632" s="203"/>
      <c r="F632" s="203"/>
    </row>
    <row r="633" spans="1:6">
      <c r="A633" s="204"/>
      <c r="B633" s="203"/>
      <c r="C633" s="203"/>
      <c r="D633" s="203"/>
      <c r="E633" s="203"/>
      <c r="F633" s="203"/>
    </row>
    <row r="634" spans="1:6">
      <c r="A634" s="204"/>
      <c r="B634" s="203"/>
      <c r="C634" s="203"/>
      <c r="D634" s="203"/>
      <c r="E634" s="203"/>
      <c r="F634" s="203"/>
    </row>
    <row r="635" spans="1:6">
      <c r="A635" s="204"/>
      <c r="B635" s="203"/>
      <c r="C635" s="203"/>
      <c r="D635" s="203"/>
      <c r="E635" s="203"/>
      <c r="F635" s="203"/>
    </row>
    <row r="636" spans="1:6">
      <c r="A636" s="204"/>
      <c r="B636" s="203"/>
      <c r="C636" s="203"/>
      <c r="D636" s="203"/>
      <c r="E636" s="203"/>
      <c r="F636" s="203"/>
    </row>
    <row r="637" spans="1:6">
      <c r="A637" s="204"/>
      <c r="B637" s="203"/>
      <c r="C637" s="203"/>
      <c r="D637" s="203"/>
      <c r="E637" s="203"/>
      <c r="F637" s="203"/>
    </row>
    <row r="638" spans="1:6">
      <c r="A638" s="204"/>
      <c r="B638" s="203"/>
      <c r="C638" s="203"/>
      <c r="D638" s="203"/>
      <c r="E638" s="203"/>
      <c r="F638" s="203"/>
    </row>
    <row r="639" spans="1:6">
      <c r="A639" s="204"/>
      <c r="B639" s="203"/>
      <c r="C639" s="203"/>
      <c r="D639" s="203"/>
      <c r="E639" s="203"/>
      <c r="F639" s="203"/>
    </row>
    <row r="640" spans="1:6">
      <c r="A640" s="204"/>
      <c r="B640" s="203"/>
      <c r="C640" s="203"/>
      <c r="D640" s="203"/>
      <c r="E640" s="203"/>
      <c r="F640" s="203"/>
    </row>
    <row r="641" spans="1:6">
      <c r="A641" s="204"/>
      <c r="B641" s="203"/>
      <c r="C641" s="203"/>
      <c r="D641" s="203"/>
      <c r="E641" s="203"/>
      <c r="F641" s="203"/>
    </row>
    <row r="642" spans="1:6">
      <c r="A642" s="204"/>
      <c r="B642" s="203"/>
      <c r="C642" s="203"/>
      <c r="D642" s="203"/>
      <c r="E642" s="203"/>
      <c r="F642" s="203"/>
    </row>
    <row r="643" spans="1:6">
      <c r="A643" s="204"/>
      <c r="B643" s="203"/>
      <c r="C643" s="203"/>
      <c r="D643" s="203"/>
      <c r="E643" s="203"/>
      <c r="F643" s="203"/>
    </row>
    <row r="644" spans="1:6">
      <c r="A644" s="204"/>
      <c r="B644" s="203"/>
      <c r="C644" s="203"/>
      <c r="D644" s="203"/>
      <c r="E644" s="203"/>
      <c r="F644" s="203"/>
    </row>
    <row r="645" spans="1:6">
      <c r="A645" s="204"/>
      <c r="B645" s="203"/>
      <c r="C645" s="203"/>
      <c r="D645" s="203"/>
      <c r="E645" s="203"/>
      <c r="F645" s="203"/>
    </row>
    <row r="646" spans="1:6">
      <c r="A646" s="204"/>
      <c r="B646" s="203"/>
      <c r="C646" s="203"/>
      <c r="D646" s="203"/>
      <c r="E646" s="203"/>
      <c r="F646" s="203"/>
    </row>
    <row r="647" spans="1:6">
      <c r="A647" s="204"/>
      <c r="B647" s="203"/>
      <c r="C647" s="203"/>
      <c r="D647" s="203"/>
      <c r="E647" s="203"/>
      <c r="F647" s="203"/>
    </row>
    <row r="648" spans="1:6">
      <c r="A648" s="204"/>
      <c r="B648" s="203"/>
      <c r="C648" s="203"/>
      <c r="D648" s="203"/>
      <c r="E648" s="203"/>
      <c r="F648" s="203"/>
    </row>
    <row r="649" spans="1:6">
      <c r="A649" s="204"/>
      <c r="B649" s="203"/>
      <c r="C649" s="203"/>
      <c r="D649" s="203"/>
      <c r="E649" s="203"/>
      <c r="F649" s="203"/>
    </row>
    <row r="650" spans="1:6">
      <c r="A650" s="204"/>
      <c r="B650" s="203"/>
      <c r="C650" s="203"/>
      <c r="D650" s="203"/>
      <c r="E650" s="203"/>
      <c r="F650" s="203"/>
    </row>
    <row r="651" spans="1:6">
      <c r="A651" s="204"/>
      <c r="B651" s="203"/>
      <c r="C651" s="203"/>
      <c r="D651" s="203"/>
      <c r="E651" s="203"/>
      <c r="F651" s="203"/>
    </row>
    <row r="652" spans="1:6">
      <c r="A652" s="204"/>
      <c r="B652" s="203"/>
      <c r="C652" s="203"/>
      <c r="D652" s="203"/>
      <c r="E652" s="203"/>
      <c r="F652" s="203"/>
    </row>
    <row r="653" spans="1:6">
      <c r="A653" s="204"/>
      <c r="B653" s="203"/>
      <c r="C653" s="203"/>
      <c r="D653" s="203"/>
      <c r="E653" s="203"/>
      <c r="F653" s="203"/>
    </row>
    <row r="654" spans="1:6">
      <c r="A654" s="204"/>
      <c r="B654" s="203"/>
      <c r="C654" s="203"/>
      <c r="D654" s="203"/>
      <c r="E654" s="203"/>
      <c r="F654" s="203"/>
    </row>
    <row r="655" spans="1:6">
      <c r="A655" s="204"/>
      <c r="B655" s="203"/>
      <c r="C655" s="203"/>
      <c r="D655" s="203"/>
      <c r="E655" s="203"/>
      <c r="F655" s="203"/>
    </row>
    <row r="656" spans="1:6">
      <c r="A656" s="204"/>
      <c r="B656" s="203"/>
      <c r="C656" s="203"/>
      <c r="D656" s="203"/>
      <c r="E656" s="203"/>
      <c r="F656" s="203"/>
    </row>
    <row r="657" spans="1:6">
      <c r="A657" s="204"/>
      <c r="B657" s="203"/>
      <c r="C657" s="203"/>
      <c r="D657" s="203"/>
      <c r="E657" s="203"/>
      <c r="F657" s="203"/>
    </row>
    <row r="658" spans="1:6">
      <c r="A658" s="204"/>
      <c r="B658" s="203"/>
      <c r="C658" s="203"/>
      <c r="D658" s="203"/>
      <c r="E658" s="203"/>
      <c r="F658" s="203"/>
    </row>
    <row r="659" spans="1:6">
      <c r="A659" s="204"/>
      <c r="B659" s="203"/>
      <c r="C659" s="203"/>
      <c r="D659" s="203"/>
      <c r="E659" s="203"/>
      <c r="F659" s="203"/>
    </row>
    <row r="660" spans="1:6">
      <c r="A660" s="204"/>
      <c r="B660" s="203"/>
      <c r="C660" s="203"/>
      <c r="D660" s="203"/>
      <c r="E660" s="203"/>
      <c r="F660" s="203"/>
    </row>
    <row r="661" spans="1:6">
      <c r="A661" s="204"/>
      <c r="B661" s="203"/>
      <c r="C661" s="203"/>
      <c r="D661" s="203"/>
      <c r="E661" s="203"/>
      <c r="F661" s="203"/>
    </row>
    <row r="662" spans="1:6">
      <c r="A662" s="204"/>
      <c r="B662" s="203"/>
      <c r="C662" s="203"/>
      <c r="D662" s="203"/>
      <c r="E662" s="203"/>
      <c r="F662" s="203"/>
    </row>
    <row r="663" spans="1:6">
      <c r="A663" s="204"/>
      <c r="B663" s="203"/>
      <c r="C663" s="203"/>
      <c r="D663" s="203"/>
      <c r="E663" s="203"/>
      <c r="F663" s="203"/>
    </row>
    <row r="664" spans="1:6">
      <c r="A664" s="204"/>
      <c r="B664" s="203"/>
      <c r="C664" s="203"/>
      <c r="D664" s="203"/>
      <c r="E664" s="203"/>
      <c r="F664" s="203"/>
    </row>
    <row r="665" spans="1:6">
      <c r="A665" s="204"/>
      <c r="B665" s="203"/>
      <c r="C665" s="203"/>
      <c r="D665" s="203"/>
      <c r="E665" s="203"/>
      <c r="F665" s="203"/>
    </row>
    <row r="666" spans="1:6">
      <c r="A666" s="204"/>
      <c r="B666" s="203"/>
      <c r="C666" s="203"/>
      <c r="D666" s="203"/>
      <c r="E666" s="203"/>
      <c r="F666" s="203"/>
    </row>
    <row r="667" spans="1:6">
      <c r="A667" s="204"/>
      <c r="B667" s="203"/>
      <c r="C667" s="203"/>
      <c r="D667" s="203"/>
      <c r="E667" s="203"/>
      <c r="F667" s="203"/>
    </row>
    <row r="668" spans="1:6">
      <c r="A668" s="204"/>
      <c r="B668" s="203"/>
      <c r="C668" s="203"/>
      <c r="D668" s="203"/>
      <c r="E668" s="203"/>
      <c r="F668" s="203"/>
    </row>
    <row r="669" spans="1:6">
      <c r="A669" s="204"/>
      <c r="B669" s="203"/>
      <c r="C669" s="203"/>
      <c r="D669" s="203"/>
      <c r="E669" s="203"/>
      <c r="F669" s="203"/>
    </row>
    <row r="670" spans="1:6">
      <c r="A670" s="204"/>
      <c r="B670" s="203"/>
      <c r="C670" s="203"/>
      <c r="D670" s="203"/>
      <c r="E670" s="203"/>
      <c r="F670" s="203"/>
    </row>
    <row r="671" spans="1:6">
      <c r="A671" s="204"/>
      <c r="B671" s="203"/>
      <c r="C671" s="203"/>
      <c r="D671" s="203"/>
      <c r="E671" s="203"/>
      <c r="F671" s="203"/>
    </row>
    <row r="672" spans="1:6">
      <c r="A672" s="204"/>
      <c r="B672" s="203"/>
      <c r="C672" s="203"/>
      <c r="D672" s="203"/>
      <c r="E672" s="203"/>
      <c r="F672" s="203"/>
    </row>
    <row r="673" spans="1:6">
      <c r="A673" s="204"/>
      <c r="B673" s="203"/>
      <c r="C673" s="203"/>
      <c r="D673" s="203"/>
      <c r="E673" s="203"/>
      <c r="F673" s="203"/>
    </row>
    <row r="674" spans="1:6">
      <c r="A674" s="204"/>
      <c r="B674" s="203"/>
      <c r="C674" s="203"/>
      <c r="D674" s="203"/>
      <c r="E674" s="203"/>
      <c r="F674" s="203"/>
    </row>
    <row r="675" spans="1:6">
      <c r="A675" s="204"/>
      <c r="B675" s="203"/>
      <c r="C675" s="203"/>
      <c r="D675" s="203"/>
      <c r="E675" s="203"/>
      <c r="F675" s="203"/>
    </row>
    <row r="676" spans="1:6">
      <c r="A676" s="204"/>
      <c r="B676" s="203"/>
      <c r="C676" s="203"/>
      <c r="D676" s="203"/>
      <c r="E676" s="203"/>
      <c r="F676" s="203"/>
    </row>
    <row r="677" spans="1:6">
      <c r="A677" s="204"/>
      <c r="B677" s="203"/>
      <c r="C677" s="203"/>
      <c r="D677" s="203"/>
      <c r="E677" s="203"/>
      <c r="F677" s="203"/>
    </row>
    <row r="678" spans="1:6">
      <c r="A678" s="204"/>
      <c r="B678" s="203"/>
      <c r="C678" s="203"/>
      <c r="D678" s="203"/>
      <c r="E678" s="203"/>
      <c r="F678" s="203"/>
    </row>
    <row r="679" spans="1:6">
      <c r="A679" s="204"/>
      <c r="B679" s="203"/>
      <c r="C679" s="203"/>
      <c r="D679" s="203"/>
      <c r="E679" s="203"/>
      <c r="F679" s="203"/>
    </row>
    <row r="680" spans="1:6">
      <c r="A680" s="204"/>
      <c r="B680" s="203"/>
      <c r="C680" s="203"/>
      <c r="D680" s="203"/>
      <c r="E680" s="203"/>
      <c r="F680" s="203"/>
    </row>
    <row r="681" spans="1:6">
      <c r="A681" s="204"/>
      <c r="B681" s="203"/>
      <c r="C681" s="203"/>
      <c r="D681" s="203"/>
      <c r="E681" s="203"/>
      <c r="F681" s="203"/>
    </row>
    <row r="682" spans="1:6">
      <c r="A682" s="204"/>
      <c r="B682" s="203"/>
      <c r="C682" s="203"/>
      <c r="D682" s="203"/>
      <c r="E682" s="203"/>
      <c r="F682" s="203"/>
    </row>
    <row r="683" spans="1:6">
      <c r="A683" s="204"/>
      <c r="B683" s="203"/>
      <c r="C683" s="203"/>
      <c r="D683" s="203"/>
      <c r="E683" s="203"/>
      <c r="F683" s="203"/>
    </row>
    <row r="684" spans="1:6">
      <c r="A684" s="204"/>
      <c r="B684" s="203"/>
      <c r="C684" s="203"/>
      <c r="D684" s="203"/>
      <c r="E684" s="203"/>
      <c r="F684" s="203"/>
    </row>
    <row r="685" spans="1:6">
      <c r="A685" s="204"/>
      <c r="B685" s="203"/>
      <c r="C685" s="203"/>
      <c r="D685" s="203"/>
      <c r="E685" s="203"/>
      <c r="F685" s="203"/>
    </row>
    <row r="686" spans="1:6">
      <c r="A686" s="204"/>
      <c r="B686" s="203"/>
      <c r="C686" s="203"/>
      <c r="D686" s="203"/>
      <c r="E686" s="203"/>
      <c r="F686" s="203"/>
    </row>
    <row r="687" spans="1:6">
      <c r="A687" s="204"/>
      <c r="B687" s="203"/>
      <c r="C687" s="203"/>
      <c r="D687" s="203"/>
      <c r="E687" s="203"/>
      <c r="F687" s="203"/>
    </row>
    <row r="688" spans="1:6">
      <c r="A688" s="204"/>
      <c r="B688" s="203"/>
      <c r="C688" s="203"/>
      <c r="D688" s="203"/>
      <c r="E688" s="203"/>
      <c r="F688" s="203"/>
    </row>
    <row r="689" spans="1:6">
      <c r="A689" s="204"/>
      <c r="B689" s="203"/>
      <c r="C689" s="203"/>
      <c r="D689" s="203"/>
      <c r="E689" s="203"/>
      <c r="F689" s="203"/>
    </row>
    <row r="690" spans="1:6">
      <c r="A690" s="204"/>
      <c r="B690" s="203"/>
      <c r="C690" s="203"/>
      <c r="D690" s="203"/>
      <c r="E690" s="203"/>
      <c r="F690" s="203"/>
    </row>
    <row r="691" spans="1:6">
      <c r="A691" s="204"/>
      <c r="B691" s="203"/>
      <c r="C691" s="203"/>
      <c r="D691" s="203"/>
      <c r="E691" s="203"/>
      <c r="F691" s="203"/>
    </row>
    <row r="692" spans="1:6">
      <c r="A692" s="204"/>
      <c r="B692" s="203"/>
      <c r="C692" s="203"/>
      <c r="D692" s="203"/>
      <c r="E692" s="203"/>
      <c r="F692" s="203"/>
    </row>
    <row r="693" spans="1:6">
      <c r="A693" s="204"/>
      <c r="B693" s="203"/>
      <c r="C693" s="203"/>
      <c r="D693" s="203"/>
      <c r="E693" s="203"/>
      <c r="F693" s="203"/>
    </row>
    <row r="694" spans="1:6">
      <c r="A694" s="204"/>
      <c r="B694" s="203"/>
      <c r="C694" s="203"/>
      <c r="D694" s="203"/>
      <c r="E694" s="203"/>
      <c r="F694" s="203"/>
    </row>
    <row r="695" spans="1:6">
      <c r="A695" s="204"/>
      <c r="B695" s="203"/>
      <c r="C695" s="203"/>
      <c r="D695" s="203"/>
      <c r="E695" s="203"/>
      <c r="F695" s="203"/>
    </row>
    <row r="696" spans="1:6">
      <c r="A696" s="204"/>
      <c r="B696" s="203"/>
      <c r="C696" s="203"/>
      <c r="D696" s="203"/>
      <c r="E696" s="203"/>
      <c r="F696" s="203"/>
    </row>
    <row r="697" spans="1:6">
      <c r="A697" s="204"/>
      <c r="B697" s="203"/>
      <c r="C697" s="203"/>
      <c r="D697" s="203"/>
      <c r="E697" s="203"/>
      <c r="F697" s="203"/>
    </row>
    <row r="698" spans="1:6">
      <c r="A698" s="204"/>
      <c r="B698" s="203"/>
      <c r="C698" s="203"/>
      <c r="D698" s="203"/>
      <c r="E698" s="203"/>
      <c r="F698" s="203"/>
    </row>
    <row r="699" spans="1:6">
      <c r="A699" s="204"/>
      <c r="B699" s="203"/>
      <c r="C699" s="203"/>
      <c r="D699" s="203"/>
      <c r="E699" s="203"/>
      <c r="F699" s="203"/>
    </row>
    <row r="700" spans="1:6">
      <c r="A700" s="204"/>
      <c r="B700" s="203"/>
      <c r="C700" s="203"/>
      <c r="D700" s="203"/>
      <c r="E700" s="203"/>
      <c r="F700" s="203"/>
    </row>
    <row r="701" spans="1:6">
      <c r="A701" s="204"/>
      <c r="B701" s="203"/>
      <c r="C701" s="203"/>
      <c r="D701" s="203"/>
      <c r="E701" s="203"/>
      <c r="F701" s="203"/>
    </row>
    <row r="702" spans="1:6">
      <c r="A702" s="204"/>
      <c r="B702" s="203"/>
      <c r="C702" s="203"/>
      <c r="D702" s="203"/>
      <c r="E702" s="203"/>
      <c r="F702" s="203"/>
    </row>
    <row r="703" spans="1:6">
      <c r="A703" s="204"/>
      <c r="B703" s="203"/>
      <c r="C703" s="203"/>
      <c r="D703" s="203"/>
      <c r="E703" s="203"/>
      <c r="F703" s="203"/>
    </row>
    <row r="704" spans="1:6">
      <c r="A704" s="204"/>
      <c r="B704" s="203"/>
      <c r="C704" s="203"/>
      <c r="D704" s="203"/>
      <c r="E704" s="203"/>
      <c r="F704" s="203"/>
    </row>
    <row r="705" spans="1:6">
      <c r="A705" s="204"/>
      <c r="B705" s="203"/>
      <c r="C705" s="203"/>
      <c r="D705" s="203"/>
      <c r="E705" s="203"/>
      <c r="F705" s="203"/>
    </row>
    <row r="706" spans="1:6">
      <c r="A706" s="204"/>
      <c r="B706" s="203"/>
      <c r="C706" s="203"/>
      <c r="D706" s="203"/>
      <c r="E706" s="203"/>
      <c r="F706" s="203"/>
    </row>
    <row r="707" spans="1:6">
      <c r="A707" s="204"/>
      <c r="B707" s="203"/>
      <c r="C707" s="203"/>
      <c r="D707" s="203"/>
      <c r="E707" s="203"/>
      <c r="F707" s="203"/>
    </row>
    <row r="708" spans="1:6">
      <c r="A708" s="204"/>
      <c r="B708" s="203"/>
      <c r="C708" s="203"/>
      <c r="D708" s="203"/>
      <c r="E708" s="203"/>
      <c r="F708" s="203"/>
    </row>
    <row r="709" spans="1:6">
      <c r="A709" s="204"/>
      <c r="B709" s="203"/>
      <c r="C709" s="203"/>
      <c r="D709" s="203"/>
      <c r="E709" s="203"/>
      <c r="F709" s="203"/>
    </row>
    <row r="710" spans="1:6">
      <c r="A710" s="204"/>
      <c r="B710" s="203"/>
      <c r="C710" s="203"/>
      <c r="D710" s="203"/>
      <c r="E710" s="203"/>
      <c r="F710" s="203"/>
    </row>
    <row r="711" spans="1:6">
      <c r="A711" s="204"/>
      <c r="B711" s="203"/>
      <c r="C711" s="203"/>
      <c r="D711" s="203"/>
      <c r="E711" s="203"/>
      <c r="F711" s="203"/>
    </row>
    <row r="712" spans="1:6">
      <c r="A712" s="204"/>
      <c r="B712" s="203"/>
      <c r="C712" s="203"/>
      <c r="D712" s="203"/>
      <c r="E712" s="203"/>
      <c r="F712" s="203"/>
    </row>
    <row r="713" spans="1:6">
      <c r="A713" s="204"/>
      <c r="B713" s="203"/>
      <c r="C713" s="203"/>
      <c r="D713" s="203"/>
      <c r="E713" s="203"/>
      <c r="F713" s="203"/>
    </row>
    <row r="714" spans="1:6">
      <c r="A714" s="204"/>
      <c r="B714" s="203"/>
      <c r="C714" s="203"/>
      <c r="D714" s="203"/>
      <c r="E714" s="203"/>
      <c r="F714" s="203"/>
    </row>
    <row r="715" spans="1:6">
      <c r="A715" s="204"/>
      <c r="B715" s="203"/>
      <c r="C715" s="203"/>
      <c r="D715" s="203"/>
      <c r="E715" s="203"/>
      <c r="F715" s="203"/>
    </row>
    <row r="716" spans="1:6">
      <c r="A716" s="204"/>
      <c r="B716" s="203"/>
      <c r="C716" s="203"/>
      <c r="D716" s="203"/>
      <c r="E716" s="203"/>
      <c r="F716" s="203"/>
    </row>
    <row r="717" spans="1:6">
      <c r="A717" s="204"/>
      <c r="B717" s="203"/>
      <c r="C717" s="203"/>
      <c r="D717" s="203"/>
      <c r="E717" s="203"/>
      <c r="F717" s="203"/>
    </row>
    <row r="718" spans="1:6">
      <c r="A718" s="204"/>
      <c r="B718" s="203"/>
      <c r="C718" s="203"/>
      <c r="D718" s="203"/>
      <c r="E718" s="203"/>
      <c r="F718" s="203"/>
    </row>
    <row r="719" spans="1:6">
      <c r="A719" s="204"/>
      <c r="B719" s="203"/>
      <c r="C719" s="203"/>
      <c r="D719" s="203"/>
      <c r="E719" s="203"/>
      <c r="F719" s="203"/>
    </row>
    <row r="720" spans="1:6">
      <c r="A720" s="204"/>
      <c r="B720" s="203"/>
      <c r="C720" s="203"/>
      <c r="D720" s="203"/>
      <c r="E720" s="203"/>
      <c r="F720" s="203"/>
    </row>
    <row r="721" spans="1:6">
      <c r="A721" s="204"/>
      <c r="B721" s="203"/>
      <c r="C721" s="203"/>
      <c r="D721" s="203"/>
      <c r="E721" s="203"/>
      <c r="F721" s="203"/>
    </row>
    <row r="722" spans="1:6">
      <c r="A722" s="204"/>
      <c r="B722" s="203"/>
      <c r="C722" s="203"/>
      <c r="D722" s="203"/>
      <c r="E722" s="203"/>
      <c r="F722" s="203"/>
    </row>
    <row r="723" spans="1:6">
      <c r="A723" s="204"/>
      <c r="B723" s="203"/>
      <c r="C723" s="203"/>
      <c r="D723" s="203"/>
      <c r="E723" s="203"/>
      <c r="F723" s="203"/>
    </row>
    <row r="724" spans="1:6">
      <c r="A724" s="204"/>
      <c r="B724" s="203"/>
      <c r="C724" s="203"/>
      <c r="D724" s="203"/>
      <c r="E724" s="203"/>
      <c r="F724" s="203"/>
    </row>
    <row r="725" spans="1:6">
      <c r="A725" s="204"/>
      <c r="B725" s="203"/>
      <c r="C725" s="203"/>
      <c r="D725" s="203"/>
      <c r="E725" s="203"/>
      <c r="F725" s="203"/>
    </row>
    <row r="726" spans="1:6">
      <c r="A726" s="204"/>
      <c r="B726" s="203"/>
      <c r="C726" s="203"/>
      <c r="D726" s="203"/>
      <c r="E726" s="203"/>
      <c r="F726" s="203"/>
    </row>
    <row r="727" spans="1:6">
      <c r="A727" s="204"/>
      <c r="B727" s="203"/>
      <c r="C727" s="203"/>
      <c r="D727" s="203"/>
      <c r="E727" s="203"/>
      <c r="F727" s="203"/>
    </row>
    <row r="728" spans="1:6">
      <c r="A728" s="204"/>
      <c r="B728" s="203"/>
      <c r="C728" s="203"/>
      <c r="D728" s="203"/>
      <c r="E728" s="203"/>
      <c r="F728" s="203"/>
    </row>
    <row r="729" spans="1:6">
      <c r="A729" s="204"/>
      <c r="B729" s="203"/>
      <c r="C729" s="203"/>
      <c r="D729" s="203"/>
      <c r="E729" s="203"/>
      <c r="F729" s="203"/>
    </row>
    <row r="730" spans="1:6">
      <c r="A730" s="204"/>
      <c r="B730" s="203"/>
      <c r="C730" s="203"/>
      <c r="D730" s="203"/>
      <c r="E730" s="203"/>
      <c r="F730" s="203"/>
    </row>
    <row r="731" spans="1:6">
      <c r="A731" s="204"/>
      <c r="B731" s="203"/>
      <c r="C731" s="203"/>
      <c r="D731" s="203"/>
      <c r="E731" s="203"/>
      <c r="F731" s="203"/>
    </row>
    <row r="732" spans="1:6">
      <c r="A732" s="204"/>
      <c r="B732" s="203"/>
      <c r="C732" s="203"/>
      <c r="D732" s="203"/>
      <c r="E732" s="203"/>
      <c r="F732" s="203"/>
    </row>
    <row r="733" spans="1:6">
      <c r="A733" s="204"/>
      <c r="B733" s="203"/>
      <c r="C733" s="203"/>
      <c r="D733" s="203"/>
      <c r="E733" s="203"/>
      <c r="F733" s="203"/>
    </row>
    <row r="734" spans="1:6">
      <c r="A734" s="204"/>
      <c r="B734" s="203"/>
      <c r="C734" s="203"/>
      <c r="D734" s="203"/>
      <c r="E734" s="203"/>
      <c r="F734" s="203"/>
    </row>
    <row r="735" spans="1:6">
      <c r="A735" s="204"/>
      <c r="B735" s="203"/>
      <c r="C735" s="203"/>
      <c r="D735" s="203"/>
      <c r="E735" s="203"/>
      <c r="F735" s="203"/>
    </row>
    <row r="736" spans="1:6">
      <c r="A736" s="204"/>
      <c r="B736" s="203"/>
      <c r="C736" s="203"/>
      <c r="D736" s="203"/>
      <c r="E736" s="203"/>
      <c r="F736" s="203"/>
    </row>
    <row r="737" spans="1:6">
      <c r="A737" s="204"/>
      <c r="B737" s="203"/>
      <c r="C737" s="203"/>
      <c r="D737" s="203"/>
      <c r="E737" s="203"/>
      <c r="F737" s="203"/>
    </row>
    <row r="738" spans="1:6">
      <c r="A738" s="204"/>
      <c r="B738" s="203"/>
      <c r="C738" s="203"/>
      <c r="D738" s="203"/>
      <c r="E738" s="203"/>
      <c r="F738" s="203"/>
    </row>
    <row r="739" spans="1:6">
      <c r="A739" s="204"/>
      <c r="B739" s="203"/>
      <c r="C739" s="203"/>
      <c r="D739" s="203"/>
      <c r="E739" s="203"/>
      <c r="F739" s="203"/>
    </row>
    <row r="740" spans="1:6">
      <c r="A740" s="204"/>
      <c r="B740" s="203"/>
      <c r="C740" s="203"/>
      <c r="D740" s="203"/>
      <c r="E740" s="203"/>
      <c r="F740" s="203"/>
    </row>
    <row r="741" spans="1:6">
      <c r="A741" s="204"/>
      <c r="B741" s="203"/>
      <c r="C741" s="203"/>
      <c r="D741" s="203"/>
      <c r="E741" s="203"/>
      <c r="F741" s="203"/>
    </row>
    <row r="742" spans="1:6">
      <c r="A742" s="204"/>
      <c r="B742" s="203"/>
      <c r="C742" s="203"/>
      <c r="D742" s="203"/>
      <c r="E742" s="203"/>
      <c r="F742" s="203"/>
    </row>
    <row r="743" spans="1:6">
      <c r="A743" s="204"/>
      <c r="B743" s="203"/>
      <c r="C743" s="203"/>
      <c r="D743" s="203"/>
      <c r="E743" s="203"/>
      <c r="F743" s="203"/>
    </row>
    <row r="744" spans="1:6">
      <c r="A744" s="204"/>
      <c r="B744" s="203"/>
      <c r="C744" s="203"/>
      <c r="D744" s="203"/>
      <c r="E744" s="203"/>
      <c r="F744" s="203"/>
    </row>
    <row r="745" spans="1:6">
      <c r="A745" s="204"/>
      <c r="B745" s="203"/>
      <c r="C745" s="203"/>
      <c r="D745" s="203"/>
      <c r="E745" s="203"/>
      <c r="F745" s="203"/>
    </row>
    <row r="746" spans="1:6">
      <c r="A746" s="204"/>
      <c r="B746" s="203"/>
      <c r="C746" s="203"/>
      <c r="D746" s="203"/>
      <c r="E746" s="203"/>
      <c r="F746" s="203"/>
    </row>
    <row r="747" spans="1:6">
      <c r="A747" s="204"/>
      <c r="B747" s="203"/>
      <c r="C747" s="203"/>
      <c r="D747" s="203"/>
      <c r="E747" s="203"/>
      <c r="F747" s="203"/>
    </row>
    <row r="748" spans="1:6">
      <c r="A748" s="204"/>
      <c r="B748" s="203"/>
      <c r="C748" s="203"/>
      <c r="D748" s="203"/>
      <c r="E748" s="203"/>
      <c r="F748" s="203"/>
    </row>
    <row r="749" spans="1:6">
      <c r="A749" s="204"/>
      <c r="B749" s="203"/>
      <c r="C749" s="203"/>
      <c r="D749" s="203"/>
      <c r="E749" s="203"/>
      <c r="F749" s="203"/>
    </row>
    <row r="750" spans="1:6">
      <c r="A750" s="204"/>
      <c r="B750" s="203"/>
      <c r="C750" s="203"/>
      <c r="D750" s="203"/>
      <c r="E750" s="203"/>
      <c r="F750" s="203"/>
    </row>
    <row r="751" spans="1:6">
      <c r="A751" s="204"/>
      <c r="B751" s="203"/>
      <c r="C751" s="203"/>
      <c r="D751" s="203"/>
      <c r="E751" s="203"/>
      <c r="F751" s="203"/>
    </row>
    <row r="752" spans="1:6">
      <c r="A752" s="204"/>
      <c r="B752" s="203"/>
      <c r="C752" s="203"/>
      <c r="D752" s="203"/>
      <c r="E752" s="203"/>
      <c r="F752" s="203"/>
    </row>
    <row r="753" spans="1:6">
      <c r="A753" s="204"/>
      <c r="B753" s="203"/>
      <c r="C753" s="203"/>
      <c r="D753" s="203"/>
      <c r="E753" s="203"/>
      <c r="F753" s="203"/>
    </row>
    <row r="754" spans="1:6">
      <c r="A754" s="204"/>
      <c r="B754" s="203"/>
      <c r="C754" s="203"/>
      <c r="D754" s="203"/>
      <c r="E754" s="203"/>
      <c r="F754" s="203"/>
    </row>
    <row r="755" spans="1:6">
      <c r="A755" s="204"/>
      <c r="B755" s="203"/>
      <c r="C755" s="203"/>
      <c r="D755" s="203"/>
      <c r="E755" s="203"/>
      <c r="F755" s="203"/>
    </row>
    <row r="756" spans="1:6">
      <c r="A756" s="204"/>
      <c r="B756" s="203"/>
      <c r="C756" s="203"/>
      <c r="D756" s="203"/>
      <c r="E756" s="203"/>
      <c r="F756" s="203"/>
    </row>
    <row r="757" spans="1:6">
      <c r="A757" s="204"/>
      <c r="B757" s="203"/>
      <c r="C757" s="203"/>
      <c r="D757" s="203"/>
      <c r="E757" s="203"/>
      <c r="F757" s="203"/>
    </row>
    <row r="758" spans="1:6">
      <c r="A758" s="204"/>
      <c r="B758" s="203"/>
      <c r="C758" s="203"/>
      <c r="D758" s="203"/>
      <c r="E758" s="203"/>
      <c r="F758" s="203"/>
    </row>
    <row r="759" spans="1:6">
      <c r="A759" s="204"/>
      <c r="B759" s="203"/>
      <c r="C759" s="203"/>
      <c r="D759" s="203"/>
      <c r="E759" s="203"/>
      <c r="F759" s="203"/>
    </row>
    <row r="760" spans="1:6">
      <c r="A760" s="204"/>
      <c r="B760" s="203"/>
      <c r="C760" s="203"/>
      <c r="D760" s="203"/>
      <c r="E760" s="203"/>
      <c r="F760" s="203"/>
    </row>
    <row r="761" spans="1:6">
      <c r="A761" s="204"/>
      <c r="B761" s="203"/>
      <c r="C761" s="203"/>
      <c r="D761" s="203"/>
      <c r="E761" s="203"/>
      <c r="F761" s="203"/>
    </row>
    <row r="762" spans="1:6">
      <c r="A762" s="204"/>
      <c r="B762" s="203"/>
      <c r="C762" s="203"/>
      <c r="D762" s="203"/>
      <c r="E762" s="203"/>
      <c r="F762" s="203"/>
    </row>
    <row r="763" spans="1:6">
      <c r="A763" s="204"/>
      <c r="B763" s="203"/>
      <c r="C763" s="203"/>
      <c r="D763" s="203"/>
      <c r="E763" s="203"/>
      <c r="F763" s="203"/>
    </row>
    <row r="764" spans="1:6">
      <c r="A764" s="204"/>
      <c r="B764" s="203"/>
      <c r="C764" s="203"/>
      <c r="D764" s="203"/>
      <c r="E764" s="203"/>
      <c r="F764" s="203"/>
    </row>
    <row r="765" spans="1:6">
      <c r="A765" s="204"/>
      <c r="B765" s="203"/>
      <c r="C765" s="203"/>
      <c r="D765" s="203"/>
      <c r="E765" s="203"/>
      <c r="F765" s="203"/>
    </row>
    <row r="766" spans="1:6">
      <c r="A766" s="204"/>
      <c r="B766" s="203"/>
      <c r="C766" s="203"/>
      <c r="D766" s="203"/>
      <c r="E766" s="203"/>
      <c r="F766" s="203"/>
    </row>
    <row r="767" spans="1:6">
      <c r="A767" s="204"/>
      <c r="B767" s="203"/>
      <c r="C767" s="203"/>
      <c r="D767" s="203"/>
      <c r="E767" s="203"/>
      <c r="F767" s="203"/>
    </row>
    <row r="768" spans="1:6">
      <c r="A768" s="204"/>
      <c r="B768" s="203"/>
      <c r="C768" s="203"/>
      <c r="D768" s="203"/>
      <c r="E768" s="203"/>
      <c r="F768" s="203"/>
    </row>
    <row r="769" spans="1:6">
      <c r="A769" s="204"/>
      <c r="B769" s="203"/>
      <c r="C769" s="203"/>
      <c r="D769" s="203"/>
      <c r="E769" s="203"/>
      <c r="F769" s="203"/>
    </row>
    <row r="770" spans="1:6">
      <c r="A770" s="204"/>
      <c r="B770" s="203"/>
      <c r="C770" s="203"/>
      <c r="D770" s="203"/>
      <c r="E770" s="203"/>
      <c r="F770" s="203"/>
    </row>
    <row r="771" spans="1:6">
      <c r="A771" s="204"/>
      <c r="B771" s="203"/>
      <c r="C771" s="203"/>
      <c r="D771" s="203"/>
      <c r="E771" s="203"/>
      <c r="F771" s="203"/>
    </row>
    <row r="772" spans="1:6">
      <c r="A772" s="204"/>
      <c r="B772" s="203"/>
      <c r="C772" s="203"/>
      <c r="D772" s="203"/>
      <c r="E772" s="203"/>
      <c r="F772" s="203"/>
    </row>
    <row r="773" spans="1:6">
      <c r="A773" s="204"/>
      <c r="B773" s="203"/>
      <c r="C773" s="203"/>
      <c r="D773" s="203"/>
      <c r="E773" s="203"/>
      <c r="F773" s="203"/>
    </row>
    <row r="774" spans="1:6">
      <c r="A774" s="204"/>
      <c r="B774" s="203"/>
      <c r="C774" s="203"/>
      <c r="D774" s="203"/>
      <c r="E774" s="203"/>
      <c r="F774" s="203"/>
    </row>
    <row r="775" spans="1:6">
      <c r="A775" s="204"/>
      <c r="B775" s="203"/>
      <c r="C775" s="203"/>
      <c r="D775" s="203"/>
      <c r="E775" s="203"/>
      <c r="F775" s="203"/>
    </row>
    <row r="776" spans="1:6">
      <c r="A776" s="204"/>
      <c r="B776" s="203"/>
      <c r="C776" s="203"/>
      <c r="D776" s="203"/>
      <c r="E776" s="203"/>
      <c r="F776" s="203"/>
    </row>
    <row r="777" spans="1:6">
      <c r="A777" s="204"/>
      <c r="B777" s="203"/>
      <c r="C777" s="203"/>
      <c r="D777" s="203"/>
      <c r="E777" s="203"/>
      <c r="F777" s="203"/>
    </row>
    <row r="778" spans="1:6">
      <c r="A778" s="204"/>
      <c r="B778" s="203"/>
      <c r="C778" s="203"/>
      <c r="D778" s="203"/>
      <c r="E778" s="203"/>
      <c r="F778" s="203"/>
    </row>
    <row r="779" spans="1:6">
      <c r="A779" s="204"/>
      <c r="B779" s="203"/>
      <c r="C779" s="203"/>
      <c r="D779" s="203"/>
      <c r="E779" s="203"/>
      <c r="F779" s="203"/>
    </row>
    <row r="780" spans="1:6">
      <c r="A780" s="204"/>
      <c r="B780" s="203"/>
      <c r="C780" s="203"/>
      <c r="D780" s="203"/>
      <c r="E780" s="203"/>
      <c r="F780" s="203"/>
    </row>
    <row r="781" spans="1:6">
      <c r="A781" s="204"/>
      <c r="B781" s="203"/>
      <c r="C781" s="203"/>
      <c r="D781" s="203"/>
      <c r="E781" s="203"/>
      <c r="F781" s="203"/>
    </row>
    <row r="782" spans="1:6">
      <c r="A782" s="204"/>
      <c r="B782" s="203"/>
      <c r="C782" s="203"/>
      <c r="D782" s="203"/>
      <c r="E782" s="203"/>
      <c r="F782" s="203"/>
    </row>
    <row r="783" spans="1:6">
      <c r="A783" s="204"/>
      <c r="B783" s="203"/>
      <c r="C783" s="203"/>
      <c r="D783" s="203"/>
      <c r="E783" s="203"/>
      <c r="F783" s="203"/>
    </row>
    <row r="784" spans="1:6">
      <c r="A784" s="204"/>
      <c r="B784" s="203"/>
      <c r="C784" s="203"/>
      <c r="D784" s="203"/>
      <c r="E784" s="203"/>
      <c r="F784" s="203"/>
    </row>
    <row r="785" spans="1:6">
      <c r="A785" s="204"/>
      <c r="B785" s="203"/>
      <c r="C785" s="203"/>
      <c r="D785" s="203"/>
      <c r="E785" s="203"/>
      <c r="F785" s="203"/>
    </row>
    <row r="786" spans="1:6">
      <c r="A786" s="204"/>
      <c r="B786" s="203"/>
      <c r="C786" s="203"/>
      <c r="D786" s="203"/>
      <c r="E786" s="203"/>
      <c r="F786" s="203"/>
    </row>
    <row r="787" spans="1:6">
      <c r="A787" s="204"/>
      <c r="B787" s="203"/>
      <c r="C787" s="203"/>
      <c r="D787" s="203"/>
      <c r="E787" s="203"/>
      <c r="F787" s="203"/>
    </row>
    <row r="788" spans="1:6">
      <c r="A788" s="204"/>
      <c r="B788" s="203"/>
      <c r="C788" s="203"/>
      <c r="D788" s="203"/>
      <c r="E788" s="203"/>
      <c r="F788" s="203"/>
    </row>
    <row r="789" spans="1:6">
      <c r="A789" s="204"/>
      <c r="B789" s="203"/>
      <c r="C789" s="203"/>
      <c r="D789" s="203"/>
      <c r="E789" s="203"/>
      <c r="F789" s="203"/>
    </row>
    <row r="790" spans="1:6">
      <c r="A790" s="204"/>
      <c r="B790" s="203"/>
      <c r="C790" s="203"/>
      <c r="D790" s="203"/>
      <c r="E790" s="203"/>
      <c r="F790" s="203"/>
    </row>
    <row r="791" spans="1:6">
      <c r="A791" s="204"/>
      <c r="B791" s="203"/>
      <c r="C791" s="203"/>
      <c r="D791" s="203"/>
      <c r="E791" s="203"/>
      <c r="F791" s="203"/>
    </row>
    <row r="792" spans="1:6">
      <c r="A792" s="204"/>
      <c r="B792" s="203"/>
      <c r="C792" s="203"/>
      <c r="D792" s="203"/>
      <c r="E792" s="203"/>
      <c r="F792" s="203"/>
    </row>
    <row r="793" spans="1:6">
      <c r="A793" s="204"/>
      <c r="B793" s="203"/>
      <c r="C793" s="203"/>
      <c r="D793" s="203"/>
      <c r="E793" s="203"/>
      <c r="F793" s="203"/>
    </row>
    <row r="794" spans="1:6">
      <c r="A794" s="204"/>
      <c r="B794" s="203"/>
      <c r="C794" s="203"/>
      <c r="D794" s="203"/>
      <c r="E794" s="203"/>
      <c r="F794" s="203"/>
    </row>
    <row r="795" spans="1:6">
      <c r="A795" s="204"/>
      <c r="B795" s="203"/>
      <c r="C795" s="203"/>
      <c r="D795" s="203"/>
      <c r="E795" s="203"/>
      <c r="F795" s="203"/>
    </row>
    <row r="796" spans="1:6">
      <c r="A796" s="204"/>
      <c r="B796" s="203"/>
      <c r="C796" s="203"/>
      <c r="D796" s="203"/>
      <c r="E796" s="203"/>
      <c r="F796" s="203"/>
    </row>
    <row r="797" spans="1:6">
      <c r="A797" s="204"/>
      <c r="B797" s="203"/>
      <c r="C797" s="203"/>
      <c r="D797" s="203"/>
      <c r="E797" s="203"/>
      <c r="F797" s="203"/>
    </row>
    <row r="798" spans="1:6">
      <c r="A798" s="204"/>
      <c r="B798" s="203"/>
      <c r="C798" s="203"/>
      <c r="D798" s="203"/>
      <c r="E798" s="203"/>
      <c r="F798" s="203"/>
    </row>
    <row r="799" spans="1:6">
      <c r="A799" s="204"/>
      <c r="B799" s="203"/>
      <c r="C799" s="203"/>
      <c r="D799" s="203"/>
      <c r="E799" s="203"/>
      <c r="F799" s="203"/>
    </row>
    <row r="800" spans="1:6">
      <c r="A800" s="204"/>
      <c r="B800" s="203"/>
      <c r="C800" s="203"/>
      <c r="D800" s="203"/>
      <c r="E800" s="203"/>
      <c r="F800" s="203"/>
    </row>
    <row r="801" spans="1:6">
      <c r="A801" s="204"/>
      <c r="B801" s="203"/>
      <c r="C801" s="203"/>
      <c r="D801" s="203"/>
      <c r="E801" s="203"/>
      <c r="F801" s="203"/>
    </row>
    <row r="802" spans="1:6">
      <c r="A802" s="204"/>
      <c r="B802" s="203"/>
      <c r="C802" s="203"/>
      <c r="D802" s="203"/>
      <c r="E802" s="203"/>
      <c r="F802" s="203"/>
    </row>
    <row r="803" spans="1:6">
      <c r="A803" s="204"/>
      <c r="B803" s="203"/>
      <c r="C803" s="203"/>
      <c r="D803" s="203"/>
      <c r="E803" s="203"/>
      <c r="F803" s="203"/>
    </row>
    <row r="804" spans="1:6">
      <c r="A804" s="204"/>
      <c r="B804" s="203"/>
      <c r="C804" s="203"/>
      <c r="D804" s="203"/>
      <c r="E804" s="203"/>
      <c r="F804" s="203"/>
    </row>
    <row r="805" spans="1:6">
      <c r="A805" s="204"/>
      <c r="B805" s="203"/>
      <c r="C805" s="203"/>
      <c r="D805" s="203"/>
      <c r="E805" s="203"/>
      <c r="F805" s="203"/>
    </row>
    <row r="806" spans="1:6">
      <c r="A806" s="204"/>
      <c r="B806" s="203"/>
      <c r="C806" s="203"/>
      <c r="D806" s="203"/>
      <c r="E806" s="203"/>
      <c r="F806" s="203"/>
    </row>
    <row r="807" spans="1:6">
      <c r="A807" s="204"/>
      <c r="B807" s="203"/>
      <c r="C807" s="203"/>
      <c r="D807" s="203"/>
      <c r="E807" s="203"/>
      <c r="F807" s="203"/>
    </row>
    <row r="808" spans="1:6">
      <c r="A808" s="204"/>
      <c r="B808" s="203"/>
      <c r="C808" s="203"/>
      <c r="D808" s="203"/>
      <c r="E808" s="203"/>
      <c r="F808" s="203"/>
    </row>
    <row r="809" spans="1:6">
      <c r="A809" s="204"/>
      <c r="B809" s="203"/>
      <c r="C809" s="203"/>
      <c r="D809" s="203"/>
      <c r="E809" s="203"/>
      <c r="F809" s="203"/>
    </row>
    <row r="810" spans="1:6">
      <c r="A810" s="204"/>
      <c r="B810" s="203"/>
      <c r="C810" s="203"/>
      <c r="D810" s="203"/>
      <c r="E810" s="203"/>
      <c r="F810" s="203"/>
    </row>
    <row r="811" spans="1:6">
      <c r="A811" s="204"/>
      <c r="B811" s="203"/>
      <c r="C811" s="203"/>
      <c r="D811" s="203"/>
      <c r="E811" s="203"/>
      <c r="F811" s="203"/>
    </row>
    <row r="812" spans="1:6">
      <c r="A812" s="204"/>
      <c r="B812" s="203"/>
      <c r="C812" s="203"/>
      <c r="D812" s="203"/>
      <c r="E812" s="203"/>
      <c r="F812" s="203"/>
    </row>
    <row r="813" spans="1:6">
      <c r="A813" s="204"/>
      <c r="B813" s="203"/>
      <c r="C813" s="203"/>
      <c r="D813" s="203"/>
      <c r="E813" s="203"/>
      <c r="F813" s="203"/>
    </row>
    <row r="814" spans="1:6">
      <c r="A814" s="204"/>
      <c r="B814" s="203"/>
      <c r="C814" s="203"/>
      <c r="D814" s="203"/>
      <c r="E814" s="203"/>
      <c r="F814" s="203"/>
    </row>
    <row r="815" spans="1:6">
      <c r="A815" s="204"/>
      <c r="B815" s="203"/>
      <c r="C815" s="203"/>
      <c r="D815" s="203"/>
      <c r="E815" s="203"/>
      <c r="F815" s="203"/>
    </row>
    <row r="816" spans="1:6">
      <c r="A816" s="204"/>
      <c r="B816" s="203"/>
      <c r="C816" s="203"/>
      <c r="D816" s="203"/>
      <c r="E816" s="203"/>
      <c r="F816" s="203"/>
    </row>
    <row r="817" spans="1:6">
      <c r="A817" s="204"/>
      <c r="B817" s="203"/>
      <c r="C817" s="203"/>
      <c r="D817" s="203"/>
      <c r="E817" s="203"/>
      <c r="F817" s="203"/>
    </row>
    <row r="818" spans="1:6">
      <c r="A818" s="204"/>
      <c r="B818" s="203"/>
      <c r="C818" s="203"/>
      <c r="D818" s="203"/>
      <c r="E818" s="203"/>
      <c r="F818" s="203"/>
    </row>
    <row r="819" spans="1:6">
      <c r="A819" s="204"/>
      <c r="B819" s="203"/>
      <c r="C819" s="203"/>
      <c r="D819" s="203"/>
      <c r="E819" s="203"/>
      <c r="F819" s="203"/>
    </row>
    <row r="820" spans="1:6">
      <c r="A820" s="204"/>
      <c r="B820" s="203"/>
      <c r="C820" s="203"/>
      <c r="D820" s="203"/>
      <c r="E820" s="203"/>
      <c r="F820" s="203"/>
    </row>
    <row r="821" spans="1:6">
      <c r="A821" s="204"/>
      <c r="B821" s="203"/>
      <c r="C821" s="203"/>
      <c r="D821" s="203"/>
      <c r="E821" s="203"/>
      <c r="F821" s="203"/>
    </row>
    <row r="822" spans="1:6">
      <c r="A822" s="204"/>
      <c r="B822" s="203"/>
      <c r="C822" s="203"/>
      <c r="D822" s="203"/>
      <c r="E822" s="203"/>
      <c r="F822" s="203"/>
    </row>
    <row r="823" spans="1:6">
      <c r="A823" s="204"/>
      <c r="B823" s="203"/>
      <c r="C823" s="203"/>
      <c r="D823" s="203"/>
      <c r="E823" s="203"/>
      <c r="F823" s="203"/>
    </row>
    <row r="824" spans="1:6">
      <c r="A824" s="204"/>
      <c r="B824" s="203"/>
      <c r="C824" s="203"/>
      <c r="D824" s="203"/>
      <c r="E824" s="203"/>
      <c r="F824" s="203"/>
    </row>
    <row r="825" spans="1:6">
      <c r="A825" s="204"/>
      <c r="B825" s="203"/>
      <c r="C825" s="203"/>
      <c r="D825" s="203"/>
      <c r="E825" s="203"/>
      <c r="F825" s="203"/>
    </row>
    <row r="826" spans="1:6">
      <c r="A826" s="204"/>
      <c r="B826" s="203"/>
      <c r="C826" s="203"/>
      <c r="D826" s="203"/>
      <c r="E826" s="203"/>
      <c r="F826" s="203"/>
    </row>
    <row r="827" spans="1:6">
      <c r="A827" s="204"/>
      <c r="B827" s="203"/>
      <c r="C827" s="203"/>
      <c r="D827" s="203"/>
      <c r="E827" s="203"/>
      <c r="F827" s="203"/>
    </row>
    <row r="828" spans="1:6">
      <c r="A828" s="204"/>
      <c r="B828" s="203"/>
      <c r="C828" s="203"/>
      <c r="D828" s="203"/>
      <c r="E828" s="203"/>
      <c r="F828" s="203"/>
    </row>
    <row r="829" spans="1:6">
      <c r="A829" s="204"/>
      <c r="B829" s="203"/>
      <c r="C829" s="203"/>
      <c r="D829" s="203"/>
      <c r="E829" s="203"/>
      <c r="F829" s="203"/>
    </row>
    <row r="830" spans="1:6">
      <c r="A830" s="204"/>
      <c r="B830" s="203"/>
      <c r="C830" s="203"/>
      <c r="D830" s="203"/>
      <c r="E830" s="203"/>
      <c r="F830" s="203"/>
    </row>
    <row r="831" spans="1:6">
      <c r="A831" s="204"/>
      <c r="B831" s="203"/>
      <c r="C831" s="203"/>
      <c r="D831" s="203"/>
      <c r="E831" s="203"/>
      <c r="F831" s="203"/>
    </row>
    <row r="832" spans="1:6">
      <c r="A832" s="204"/>
      <c r="B832" s="203"/>
      <c r="C832" s="203"/>
      <c r="D832" s="203"/>
      <c r="E832" s="203"/>
      <c r="F832" s="203"/>
    </row>
    <row r="833" spans="1:6">
      <c r="A833" s="204"/>
      <c r="B833" s="203"/>
      <c r="C833" s="203"/>
      <c r="D833" s="203"/>
      <c r="E833" s="203"/>
      <c r="F833" s="203"/>
    </row>
    <row r="834" spans="1:6">
      <c r="A834" s="204"/>
      <c r="B834" s="203"/>
      <c r="C834" s="203"/>
      <c r="D834" s="203"/>
      <c r="E834" s="203"/>
      <c r="F834" s="203"/>
    </row>
    <row r="835" spans="1:6">
      <c r="A835" s="204"/>
      <c r="B835" s="203"/>
      <c r="C835" s="203"/>
      <c r="D835" s="203"/>
      <c r="E835" s="203"/>
      <c r="F835" s="203"/>
    </row>
    <row r="836" spans="1:6">
      <c r="A836" s="204"/>
      <c r="B836" s="203"/>
      <c r="C836" s="203"/>
      <c r="D836" s="203"/>
      <c r="E836" s="203"/>
      <c r="F836" s="203"/>
    </row>
    <row r="837" spans="1:6">
      <c r="A837" s="204"/>
      <c r="B837" s="203"/>
      <c r="C837" s="203"/>
      <c r="D837" s="203"/>
      <c r="E837" s="203"/>
      <c r="F837" s="203"/>
    </row>
    <row r="838" spans="1:6">
      <c r="A838" s="204"/>
      <c r="B838" s="203"/>
      <c r="C838" s="203"/>
      <c r="D838" s="203"/>
      <c r="E838" s="203"/>
      <c r="F838" s="203"/>
    </row>
    <row r="839" spans="1:6">
      <c r="A839" s="204"/>
      <c r="B839" s="203"/>
      <c r="C839" s="203"/>
      <c r="D839" s="203"/>
      <c r="E839" s="203"/>
      <c r="F839" s="203"/>
    </row>
    <row r="840" spans="1:6">
      <c r="A840" s="204"/>
      <c r="B840" s="203"/>
      <c r="C840" s="203"/>
      <c r="D840" s="203"/>
      <c r="E840" s="203"/>
      <c r="F840" s="203"/>
    </row>
    <row r="841" spans="1:6">
      <c r="A841" s="204"/>
      <c r="B841" s="203"/>
      <c r="C841" s="203"/>
      <c r="D841" s="203"/>
      <c r="E841" s="203"/>
      <c r="F841" s="203"/>
    </row>
    <row r="842" spans="1:6">
      <c r="A842" s="204"/>
      <c r="B842" s="203"/>
      <c r="C842" s="203"/>
      <c r="D842" s="203"/>
      <c r="E842" s="203"/>
      <c r="F842" s="203"/>
    </row>
    <row r="843" spans="1:6">
      <c r="A843" s="204"/>
      <c r="B843" s="203"/>
      <c r="C843" s="203"/>
      <c r="D843" s="203"/>
      <c r="E843" s="203"/>
      <c r="F843" s="203"/>
    </row>
    <row r="844" spans="1:6">
      <c r="A844" s="204"/>
      <c r="B844" s="203"/>
      <c r="C844" s="203"/>
      <c r="D844" s="203"/>
      <c r="E844" s="203"/>
      <c r="F844" s="203"/>
    </row>
    <row r="845" spans="1:6">
      <c r="A845" s="204"/>
      <c r="B845" s="203"/>
      <c r="C845" s="203"/>
      <c r="D845" s="203"/>
      <c r="E845" s="203"/>
      <c r="F845" s="203"/>
    </row>
    <row r="846" spans="1:6">
      <c r="A846" s="204"/>
      <c r="B846" s="203"/>
      <c r="C846" s="203"/>
      <c r="D846" s="203"/>
      <c r="E846" s="203"/>
      <c r="F846" s="203"/>
    </row>
    <row r="847" spans="1:6">
      <c r="A847" s="204"/>
      <c r="B847" s="203"/>
      <c r="C847" s="203"/>
      <c r="D847" s="203"/>
      <c r="E847" s="203"/>
      <c r="F847" s="203"/>
    </row>
    <row r="848" spans="1:6">
      <c r="A848" s="204"/>
      <c r="B848" s="203"/>
      <c r="C848" s="203"/>
      <c r="D848" s="203"/>
      <c r="E848" s="203"/>
      <c r="F848" s="203"/>
    </row>
    <row r="849" spans="1:6">
      <c r="A849" s="204"/>
      <c r="B849" s="203"/>
      <c r="C849" s="203"/>
      <c r="D849" s="203"/>
      <c r="E849" s="203"/>
      <c r="F849" s="203"/>
    </row>
    <row r="850" spans="1:6">
      <c r="A850" s="204"/>
      <c r="B850" s="203"/>
      <c r="C850" s="203"/>
      <c r="D850" s="203"/>
      <c r="E850" s="203"/>
      <c r="F850" s="203"/>
    </row>
    <row r="851" spans="1:6">
      <c r="A851" s="204"/>
      <c r="B851" s="203"/>
      <c r="C851" s="203"/>
      <c r="D851" s="203"/>
      <c r="E851" s="203"/>
      <c r="F851" s="203"/>
    </row>
    <row r="852" spans="1:6">
      <c r="A852" s="204"/>
      <c r="B852" s="203"/>
      <c r="C852" s="203"/>
      <c r="D852" s="203"/>
      <c r="E852" s="203"/>
      <c r="F852" s="203"/>
    </row>
    <row r="853" spans="1:6">
      <c r="A853" s="204"/>
      <c r="B853" s="203"/>
      <c r="C853" s="203"/>
      <c r="D853" s="203"/>
      <c r="E853" s="203"/>
      <c r="F853" s="203"/>
    </row>
    <row r="854" spans="1:6">
      <c r="A854" s="204"/>
      <c r="B854" s="203"/>
      <c r="C854" s="203"/>
      <c r="D854" s="203"/>
      <c r="E854" s="203"/>
      <c r="F854" s="203"/>
    </row>
    <row r="855" spans="1:6">
      <c r="A855" s="204"/>
      <c r="B855" s="203"/>
      <c r="C855" s="203"/>
      <c r="D855" s="203"/>
      <c r="E855" s="203"/>
      <c r="F855" s="203"/>
    </row>
    <row r="856" spans="1:6">
      <c r="A856" s="204"/>
      <c r="B856" s="203"/>
      <c r="C856" s="203"/>
      <c r="D856" s="203"/>
      <c r="E856" s="203"/>
      <c r="F856" s="203"/>
    </row>
    <row r="857" spans="1:6">
      <c r="A857" s="204"/>
      <c r="B857" s="203"/>
      <c r="C857" s="203"/>
      <c r="D857" s="203"/>
      <c r="E857" s="203"/>
      <c r="F857" s="203"/>
    </row>
    <row r="858" spans="1:6">
      <c r="A858" s="204"/>
      <c r="B858" s="203"/>
      <c r="C858" s="203"/>
      <c r="D858" s="203"/>
      <c r="E858" s="203"/>
      <c r="F858" s="203"/>
    </row>
    <row r="859" spans="1:6">
      <c r="A859" s="204"/>
      <c r="B859" s="203"/>
      <c r="C859" s="203"/>
      <c r="D859" s="203"/>
      <c r="E859" s="203"/>
      <c r="F859" s="203"/>
    </row>
    <row r="860" spans="1:6">
      <c r="A860" s="204"/>
      <c r="B860" s="203"/>
      <c r="C860" s="203"/>
      <c r="D860" s="203"/>
      <c r="E860" s="203"/>
      <c r="F860" s="203"/>
    </row>
    <row r="861" spans="1:6">
      <c r="A861" s="204"/>
      <c r="B861" s="203"/>
      <c r="C861" s="203"/>
      <c r="D861" s="203"/>
      <c r="E861" s="203"/>
      <c r="F861" s="203"/>
    </row>
    <row r="862" spans="1:6">
      <c r="A862" s="204"/>
      <c r="B862" s="203"/>
      <c r="C862" s="203"/>
      <c r="D862" s="203"/>
      <c r="E862" s="203"/>
      <c r="F862" s="203"/>
    </row>
    <row r="863" spans="1:6">
      <c r="A863" s="204"/>
      <c r="B863" s="203"/>
      <c r="C863" s="203"/>
      <c r="D863" s="203"/>
      <c r="E863" s="203"/>
      <c r="F863" s="203"/>
    </row>
    <row r="864" spans="1:6">
      <c r="A864" s="204"/>
      <c r="B864" s="203"/>
      <c r="C864" s="203"/>
      <c r="D864" s="203"/>
      <c r="E864" s="203"/>
      <c r="F864" s="203"/>
    </row>
    <row r="865" spans="1:6">
      <c r="A865" s="204"/>
      <c r="B865" s="203"/>
      <c r="C865" s="203"/>
      <c r="D865" s="203"/>
      <c r="E865" s="203"/>
      <c r="F865" s="203"/>
    </row>
    <row r="866" spans="1:6">
      <c r="A866" s="204"/>
      <c r="B866" s="203"/>
      <c r="C866" s="203"/>
      <c r="D866" s="203"/>
      <c r="E866" s="203"/>
      <c r="F866" s="203"/>
    </row>
    <row r="867" spans="1:6">
      <c r="A867" s="204"/>
      <c r="B867" s="203"/>
      <c r="C867" s="203"/>
      <c r="D867" s="203"/>
      <c r="E867" s="203"/>
      <c r="F867" s="203"/>
    </row>
    <row r="868" spans="1:6">
      <c r="A868" s="204"/>
      <c r="B868" s="203"/>
      <c r="C868" s="203"/>
      <c r="D868" s="203"/>
      <c r="E868" s="203"/>
      <c r="F868" s="203"/>
    </row>
    <row r="869" spans="1:6">
      <c r="A869" s="204"/>
      <c r="B869" s="203"/>
      <c r="C869" s="203"/>
      <c r="D869" s="203"/>
      <c r="E869" s="203"/>
      <c r="F869" s="203"/>
    </row>
    <row r="870" spans="1:6">
      <c r="A870" s="204"/>
      <c r="B870" s="203"/>
      <c r="C870" s="203"/>
      <c r="D870" s="203"/>
      <c r="E870" s="203"/>
      <c r="F870" s="203"/>
    </row>
    <row r="871" spans="1:6">
      <c r="A871" s="204"/>
      <c r="B871" s="203"/>
      <c r="C871" s="203"/>
      <c r="D871" s="203"/>
      <c r="E871" s="203"/>
      <c r="F871" s="203"/>
    </row>
    <row r="872" spans="1:6">
      <c r="A872" s="204"/>
      <c r="B872" s="203"/>
      <c r="C872" s="203"/>
      <c r="D872" s="203"/>
      <c r="E872" s="203"/>
      <c r="F872" s="203"/>
    </row>
    <row r="873" spans="1:6">
      <c r="A873" s="204"/>
      <c r="B873" s="203"/>
      <c r="C873" s="203"/>
      <c r="D873" s="203"/>
      <c r="E873" s="203"/>
      <c r="F873" s="203"/>
    </row>
    <row r="874" spans="1:6">
      <c r="A874" s="204"/>
      <c r="B874" s="203"/>
      <c r="C874" s="203"/>
      <c r="D874" s="203"/>
      <c r="E874" s="203"/>
      <c r="F874" s="203"/>
    </row>
    <row r="875" spans="1:6">
      <c r="A875" s="204"/>
      <c r="B875" s="203"/>
      <c r="C875" s="203"/>
      <c r="D875" s="203"/>
      <c r="E875" s="203"/>
      <c r="F875" s="203"/>
    </row>
    <row r="876" spans="1:6">
      <c r="A876" s="204"/>
      <c r="B876" s="203"/>
      <c r="C876" s="203"/>
      <c r="D876" s="203"/>
      <c r="E876" s="203"/>
      <c r="F876" s="203"/>
    </row>
    <row r="877" spans="1:6">
      <c r="A877" s="204"/>
      <c r="B877" s="203"/>
      <c r="C877" s="203"/>
      <c r="D877" s="203"/>
      <c r="E877" s="203"/>
      <c r="F877" s="203"/>
    </row>
    <row r="878" spans="1:6">
      <c r="A878" s="204"/>
      <c r="B878" s="203"/>
      <c r="C878" s="203"/>
      <c r="D878" s="203"/>
      <c r="E878" s="203"/>
      <c r="F878" s="203"/>
    </row>
    <row r="879" spans="1:6">
      <c r="A879" s="204"/>
      <c r="B879" s="203"/>
      <c r="C879" s="203"/>
      <c r="D879" s="203"/>
      <c r="E879" s="203"/>
      <c r="F879" s="203"/>
    </row>
    <row r="880" spans="1:6">
      <c r="A880" s="204"/>
      <c r="B880" s="203"/>
      <c r="C880" s="203"/>
      <c r="D880" s="203"/>
      <c r="E880" s="203"/>
      <c r="F880" s="203"/>
    </row>
    <row r="881" spans="1:6">
      <c r="A881" s="204"/>
      <c r="B881" s="203"/>
      <c r="C881" s="203"/>
      <c r="D881" s="203"/>
      <c r="E881" s="203"/>
      <c r="F881" s="203"/>
    </row>
    <row r="882" spans="1:6">
      <c r="A882" s="204"/>
      <c r="B882" s="203"/>
      <c r="C882" s="203"/>
      <c r="D882" s="203"/>
      <c r="E882" s="203"/>
      <c r="F882" s="203"/>
    </row>
    <row r="883" spans="1:6">
      <c r="A883" s="204"/>
      <c r="B883" s="203"/>
      <c r="C883" s="203"/>
      <c r="D883" s="203"/>
      <c r="E883" s="203"/>
      <c r="F883" s="203"/>
    </row>
    <row r="884" spans="1:6">
      <c r="A884" s="204"/>
      <c r="B884" s="203"/>
      <c r="C884" s="203"/>
      <c r="D884" s="203"/>
      <c r="E884" s="203"/>
      <c r="F884" s="203"/>
    </row>
    <row r="885" spans="1:6">
      <c r="A885" s="204"/>
      <c r="B885" s="203"/>
      <c r="C885" s="203"/>
      <c r="D885" s="203"/>
      <c r="E885" s="203"/>
      <c r="F885" s="203"/>
    </row>
    <row r="886" spans="1:6">
      <c r="A886" s="204"/>
      <c r="B886" s="203"/>
      <c r="C886" s="203"/>
      <c r="D886" s="203"/>
      <c r="E886" s="203"/>
      <c r="F886" s="203"/>
    </row>
    <row r="887" spans="1:6">
      <c r="A887" s="204"/>
      <c r="B887" s="203"/>
      <c r="C887" s="203"/>
      <c r="D887" s="203"/>
      <c r="E887" s="203"/>
      <c r="F887" s="203"/>
    </row>
    <row r="888" spans="1:6">
      <c r="A888" s="204"/>
      <c r="B888" s="203"/>
      <c r="C888" s="203"/>
      <c r="D888" s="203"/>
      <c r="E888" s="203"/>
      <c r="F888" s="203"/>
    </row>
    <row r="889" spans="1:6">
      <c r="A889" s="204"/>
      <c r="B889" s="203"/>
      <c r="C889" s="203"/>
      <c r="D889" s="203"/>
      <c r="E889" s="203"/>
      <c r="F889" s="203"/>
    </row>
    <row r="890" spans="1:6">
      <c r="A890" s="204"/>
      <c r="B890" s="203"/>
      <c r="C890" s="203"/>
      <c r="D890" s="203"/>
      <c r="E890" s="203"/>
      <c r="F890" s="203"/>
    </row>
    <row r="891" spans="1:6">
      <c r="A891" s="204"/>
      <c r="B891" s="203"/>
      <c r="C891" s="203"/>
      <c r="D891" s="203"/>
      <c r="E891" s="203"/>
      <c r="F891" s="203"/>
    </row>
    <row r="892" spans="1:6">
      <c r="A892" s="204"/>
      <c r="B892" s="203"/>
      <c r="C892" s="203"/>
      <c r="D892" s="203"/>
      <c r="E892" s="203"/>
      <c r="F892" s="203"/>
    </row>
    <row r="893" spans="1:6">
      <c r="A893" s="204"/>
      <c r="B893" s="203"/>
      <c r="C893" s="203"/>
      <c r="D893" s="203"/>
      <c r="E893" s="203"/>
      <c r="F893" s="203"/>
    </row>
    <row r="894" spans="1:6">
      <c r="A894" s="204"/>
      <c r="B894" s="203"/>
      <c r="C894" s="203"/>
      <c r="D894" s="203"/>
      <c r="E894" s="203"/>
      <c r="F894" s="203"/>
    </row>
    <row r="895" spans="1:6">
      <c r="A895" s="204"/>
      <c r="B895" s="203"/>
      <c r="C895" s="203"/>
      <c r="D895" s="203"/>
      <c r="E895" s="203"/>
      <c r="F895" s="203"/>
    </row>
    <row r="896" spans="1:6">
      <c r="A896" s="204"/>
      <c r="B896" s="203"/>
      <c r="C896" s="203"/>
      <c r="D896" s="203"/>
      <c r="E896" s="203"/>
      <c r="F896" s="203"/>
    </row>
    <row r="897" spans="1:6">
      <c r="A897" s="204"/>
      <c r="B897" s="203"/>
      <c r="C897" s="203"/>
      <c r="D897" s="203"/>
      <c r="E897" s="203"/>
      <c r="F897" s="203"/>
    </row>
    <row r="898" spans="1:6">
      <c r="A898" s="204"/>
      <c r="B898" s="203"/>
      <c r="C898" s="203"/>
      <c r="D898" s="203"/>
      <c r="E898" s="203"/>
      <c r="F898" s="203"/>
    </row>
    <row r="899" spans="1:6">
      <c r="A899" s="204"/>
      <c r="B899" s="203"/>
      <c r="C899" s="203"/>
      <c r="D899" s="203"/>
      <c r="E899" s="203"/>
      <c r="F899" s="203"/>
    </row>
    <row r="900" spans="1:6">
      <c r="A900" s="204"/>
      <c r="B900" s="203"/>
      <c r="C900" s="203"/>
      <c r="D900" s="203"/>
      <c r="E900" s="203"/>
      <c r="F900" s="203"/>
    </row>
    <row r="901" spans="1:6">
      <c r="A901" s="204"/>
      <c r="B901" s="203"/>
      <c r="C901" s="203"/>
      <c r="D901" s="203"/>
      <c r="E901" s="203"/>
      <c r="F901" s="203"/>
    </row>
    <row r="902" spans="1:6">
      <c r="A902" s="204"/>
      <c r="B902" s="203"/>
      <c r="C902" s="203"/>
      <c r="D902" s="203"/>
      <c r="E902" s="203"/>
      <c r="F902" s="203"/>
    </row>
    <row r="903" spans="1:6">
      <c r="A903" s="204"/>
      <c r="B903" s="203"/>
      <c r="C903" s="203"/>
      <c r="D903" s="203"/>
      <c r="E903" s="203"/>
      <c r="F903" s="203"/>
    </row>
    <row r="904" spans="1:6">
      <c r="A904" s="204"/>
      <c r="B904" s="203"/>
      <c r="C904" s="203"/>
      <c r="D904" s="203"/>
      <c r="E904" s="203"/>
      <c r="F904" s="203"/>
    </row>
    <row r="905" spans="1:6">
      <c r="A905" s="204"/>
      <c r="B905" s="203"/>
      <c r="C905" s="203"/>
      <c r="D905" s="203"/>
      <c r="E905" s="203"/>
      <c r="F905" s="203"/>
    </row>
    <row r="906" spans="1:6">
      <c r="A906" s="204"/>
      <c r="B906" s="203"/>
      <c r="C906" s="203"/>
      <c r="D906" s="203"/>
      <c r="E906" s="203"/>
      <c r="F906" s="203"/>
    </row>
    <row r="907" spans="1:6">
      <c r="A907" s="204"/>
      <c r="B907" s="203"/>
      <c r="C907" s="203"/>
      <c r="D907" s="203"/>
      <c r="E907" s="203"/>
      <c r="F907" s="203"/>
    </row>
    <row r="908" spans="1:6">
      <c r="A908" s="204"/>
      <c r="B908" s="203"/>
      <c r="C908" s="203"/>
      <c r="D908" s="203"/>
      <c r="E908" s="203"/>
      <c r="F908" s="203"/>
    </row>
    <row r="909" spans="1:6">
      <c r="A909" s="204"/>
      <c r="B909" s="203"/>
      <c r="C909" s="203"/>
      <c r="D909" s="203"/>
      <c r="E909" s="203"/>
      <c r="F909" s="203"/>
    </row>
    <row r="910" spans="1:6">
      <c r="A910" s="204"/>
      <c r="B910" s="203"/>
      <c r="C910" s="203"/>
      <c r="D910" s="203"/>
      <c r="E910" s="203"/>
      <c r="F910" s="203"/>
    </row>
    <row r="911" spans="1:6">
      <c r="A911" s="204"/>
      <c r="B911" s="203"/>
      <c r="C911" s="203"/>
      <c r="D911" s="203"/>
      <c r="E911" s="203"/>
      <c r="F911" s="203"/>
    </row>
    <row r="912" spans="1:6">
      <c r="A912" s="204"/>
      <c r="B912" s="203"/>
      <c r="C912" s="203"/>
      <c r="D912" s="203"/>
      <c r="E912" s="203"/>
      <c r="F912" s="203"/>
    </row>
    <row r="913" spans="1:6">
      <c r="A913" s="204"/>
      <c r="B913" s="203"/>
      <c r="C913" s="203"/>
      <c r="D913" s="203"/>
      <c r="E913" s="203"/>
      <c r="F913" s="203"/>
    </row>
    <row r="914" spans="1:6">
      <c r="A914" s="204"/>
      <c r="B914" s="203"/>
      <c r="C914" s="203"/>
      <c r="D914" s="203"/>
      <c r="E914" s="203"/>
      <c r="F914" s="203"/>
    </row>
    <row r="915" spans="1:6">
      <c r="A915" s="204"/>
      <c r="B915" s="203"/>
      <c r="C915" s="203"/>
      <c r="D915" s="203"/>
      <c r="E915" s="203"/>
      <c r="F915" s="203"/>
    </row>
    <row r="916" spans="1:6">
      <c r="A916" s="204"/>
      <c r="B916" s="203"/>
      <c r="C916" s="203"/>
      <c r="D916" s="203"/>
      <c r="E916" s="203"/>
      <c r="F916" s="203"/>
    </row>
    <row r="917" spans="1:6">
      <c r="A917" s="204"/>
      <c r="B917" s="203"/>
      <c r="C917" s="203"/>
      <c r="D917" s="203"/>
      <c r="E917" s="203"/>
      <c r="F917" s="203"/>
    </row>
    <row r="918" spans="1:6">
      <c r="A918" s="204"/>
      <c r="B918" s="203"/>
      <c r="C918" s="203"/>
      <c r="D918" s="203"/>
      <c r="E918" s="203"/>
      <c r="F918" s="203"/>
    </row>
    <row r="919" spans="1:6">
      <c r="A919" s="204"/>
      <c r="B919" s="203"/>
      <c r="C919" s="203"/>
      <c r="D919" s="203"/>
      <c r="E919" s="203"/>
      <c r="F919" s="203"/>
    </row>
    <row r="920" spans="1:6">
      <c r="A920" s="204"/>
      <c r="B920" s="203"/>
      <c r="C920" s="203"/>
      <c r="D920" s="203"/>
      <c r="E920" s="203"/>
      <c r="F920" s="203"/>
    </row>
    <row r="921" spans="1:6">
      <c r="A921" s="204"/>
      <c r="B921" s="203"/>
      <c r="C921" s="203"/>
      <c r="D921" s="203"/>
      <c r="E921" s="203"/>
      <c r="F921" s="203"/>
    </row>
    <row r="922" spans="1:6">
      <c r="A922" s="204"/>
      <c r="B922" s="203"/>
      <c r="C922" s="203"/>
      <c r="D922" s="203"/>
      <c r="E922" s="203"/>
      <c r="F922" s="203"/>
    </row>
    <row r="923" spans="1:6">
      <c r="A923" s="204"/>
      <c r="B923" s="203"/>
      <c r="C923" s="203"/>
      <c r="D923" s="203"/>
      <c r="E923" s="203"/>
      <c r="F923" s="203"/>
    </row>
    <row r="924" spans="1:6">
      <c r="A924" s="204"/>
      <c r="B924" s="203"/>
      <c r="C924" s="203"/>
      <c r="D924" s="203"/>
      <c r="E924" s="203"/>
      <c r="F924" s="203"/>
    </row>
    <row r="925" spans="1:6">
      <c r="A925" s="204"/>
      <c r="B925" s="203"/>
      <c r="C925" s="203"/>
      <c r="D925" s="203"/>
      <c r="E925" s="203"/>
      <c r="F925" s="203"/>
    </row>
    <row r="926" spans="1:6">
      <c r="A926" s="204"/>
      <c r="B926" s="203"/>
      <c r="C926" s="203"/>
      <c r="D926" s="203"/>
      <c r="E926" s="203"/>
      <c r="F926" s="203"/>
    </row>
    <row r="927" spans="1:6">
      <c r="A927" s="204"/>
      <c r="B927" s="203"/>
      <c r="C927" s="203"/>
      <c r="D927" s="203"/>
      <c r="E927" s="203"/>
      <c r="F927" s="203"/>
    </row>
    <row r="928" spans="1:6">
      <c r="A928" s="204"/>
      <c r="B928" s="203"/>
      <c r="C928" s="203"/>
      <c r="D928" s="203"/>
      <c r="E928" s="203"/>
      <c r="F928" s="203"/>
    </row>
    <row r="929" spans="1:6">
      <c r="A929" s="204"/>
      <c r="B929" s="203"/>
      <c r="C929" s="203"/>
      <c r="D929" s="203"/>
      <c r="E929" s="203"/>
      <c r="F929" s="203"/>
    </row>
    <row r="930" spans="1:6">
      <c r="A930" s="204"/>
      <c r="B930" s="203"/>
      <c r="C930" s="203"/>
      <c r="D930" s="203"/>
      <c r="E930" s="203"/>
      <c r="F930" s="203"/>
    </row>
    <row r="931" spans="1:6">
      <c r="A931" s="204"/>
      <c r="B931" s="203"/>
      <c r="C931" s="203"/>
      <c r="D931" s="203"/>
      <c r="E931" s="203"/>
      <c r="F931" s="203"/>
    </row>
    <row r="932" spans="1:6">
      <c r="A932" s="204"/>
      <c r="B932" s="203"/>
      <c r="C932" s="203"/>
      <c r="D932" s="203"/>
      <c r="E932" s="203"/>
      <c r="F932" s="203"/>
    </row>
    <row r="933" spans="1:6">
      <c r="A933" s="204"/>
      <c r="B933" s="203"/>
      <c r="C933" s="203"/>
      <c r="D933" s="203"/>
      <c r="E933" s="203"/>
      <c r="F933" s="203"/>
    </row>
    <row r="934" spans="1:6">
      <c r="A934" s="204"/>
      <c r="B934" s="203"/>
      <c r="C934" s="203"/>
      <c r="D934" s="203"/>
      <c r="E934" s="203"/>
      <c r="F934" s="203"/>
    </row>
    <row r="935" spans="1:6">
      <c r="A935" s="204"/>
      <c r="B935" s="203"/>
      <c r="C935" s="203"/>
      <c r="D935" s="203"/>
      <c r="E935" s="203"/>
      <c r="F935" s="203"/>
    </row>
    <row r="936" spans="1:6">
      <c r="A936" s="204"/>
      <c r="B936" s="203"/>
      <c r="C936" s="203"/>
      <c r="D936" s="203"/>
      <c r="E936" s="203"/>
      <c r="F936" s="203"/>
    </row>
    <row r="937" spans="1:6">
      <c r="A937" s="204"/>
      <c r="B937" s="203"/>
      <c r="C937" s="203"/>
      <c r="D937" s="203"/>
      <c r="E937" s="203"/>
      <c r="F937" s="203"/>
    </row>
    <row r="938" spans="1:6">
      <c r="A938" s="204"/>
      <c r="B938" s="203"/>
      <c r="C938" s="203"/>
      <c r="D938" s="203"/>
      <c r="E938" s="203"/>
      <c r="F938" s="203"/>
    </row>
    <row r="939" spans="1:6">
      <c r="A939" s="204"/>
      <c r="B939" s="203"/>
      <c r="C939" s="203"/>
      <c r="D939" s="203"/>
      <c r="E939" s="203"/>
      <c r="F939" s="203"/>
    </row>
    <row r="940" spans="1:6">
      <c r="A940" s="204"/>
      <c r="B940" s="203"/>
      <c r="C940" s="203"/>
      <c r="D940" s="203"/>
      <c r="E940" s="203"/>
      <c r="F940" s="203"/>
    </row>
    <row r="941" spans="1:6">
      <c r="A941" s="204"/>
      <c r="B941" s="203"/>
      <c r="C941" s="203"/>
      <c r="D941" s="203"/>
      <c r="E941" s="203"/>
      <c r="F941" s="203"/>
    </row>
    <row r="942" spans="1:6">
      <c r="A942" s="204"/>
      <c r="B942" s="203"/>
      <c r="C942" s="203"/>
      <c r="D942" s="203"/>
      <c r="E942" s="203"/>
      <c r="F942" s="203"/>
    </row>
    <row r="943" spans="1:6">
      <c r="A943" s="204"/>
      <c r="B943" s="203"/>
      <c r="C943" s="203"/>
      <c r="D943" s="203"/>
      <c r="E943" s="203"/>
      <c r="F943" s="203"/>
    </row>
    <row r="944" spans="1:6">
      <c r="A944" s="204"/>
      <c r="B944" s="203"/>
      <c r="C944" s="203"/>
      <c r="D944" s="203"/>
      <c r="E944" s="203"/>
      <c r="F944" s="203"/>
    </row>
    <row r="945" spans="1:6">
      <c r="A945" s="204"/>
      <c r="B945" s="203"/>
      <c r="C945" s="203"/>
      <c r="D945" s="203"/>
      <c r="E945" s="203"/>
      <c r="F945" s="203"/>
    </row>
    <row r="946" spans="1:6">
      <c r="A946" s="204"/>
      <c r="B946" s="203"/>
      <c r="C946" s="203"/>
      <c r="D946" s="203"/>
      <c r="E946" s="203"/>
      <c r="F946" s="203"/>
    </row>
    <row r="947" spans="1:6">
      <c r="A947" s="204"/>
      <c r="B947" s="203"/>
      <c r="C947" s="203"/>
      <c r="D947" s="203"/>
      <c r="E947" s="203"/>
      <c r="F947" s="203"/>
    </row>
    <row r="948" spans="1:6">
      <c r="A948" s="204"/>
      <c r="B948" s="203"/>
      <c r="C948" s="203"/>
      <c r="D948" s="203"/>
      <c r="E948" s="203"/>
      <c r="F948" s="203"/>
    </row>
    <row r="949" spans="1:6">
      <c r="A949" s="204"/>
      <c r="B949" s="203"/>
      <c r="C949" s="203"/>
      <c r="D949" s="203"/>
      <c r="E949" s="203"/>
      <c r="F949" s="203"/>
    </row>
    <row r="950" spans="1:6">
      <c r="A950" s="204"/>
      <c r="B950" s="203"/>
      <c r="C950" s="203"/>
      <c r="D950" s="203"/>
      <c r="E950" s="203"/>
      <c r="F950" s="203"/>
    </row>
    <row r="951" spans="1:6">
      <c r="A951" s="204"/>
      <c r="B951" s="203"/>
      <c r="C951" s="203"/>
      <c r="D951" s="203"/>
      <c r="E951" s="203"/>
      <c r="F951" s="203"/>
    </row>
    <row r="952" spans="1:6">
      <c r="A952" s="204"/>
      <c r="B952" s="203"/>
      <c r="C952" s="203"/>
      <c r="D952" s="203"/>
      <c r="E952" s="203"/>
      <c r="F952" s="203"/>
    </row>
    <row r="953" spans="1:6">
      <c r="A953" s="204"/>
      <c r="B953" s="203"/>
      <c r="C953" s="203"/>
      <c r="D953" s="203"/>
      <c r="E953" s="203"/>
      <c r="F953" s="203"/>
    </row>
    <row r="954" spans="1:6">
      <c r="A954" s="204"/>
      <c r="B954" s="203"/>
      <c r="C954" s="203"/>
      <c r="D954" s="203"/>
      <c r="E954" s="203"/>
      <c r="F954" s="203"/>
    </row>
    <row r="955" spans="1:6">
      <c r="A955" s="204"/>
      <c r="B955" s="203"/>
      <c r="C955" s="203"/>
      <c r="D955" s="203"/>
      <c r="E955" s="203"/>
      <c r="F955" s="203"/>
    </row>
    <row r="956" spans="1:6">
      <c r="A956" s="204"/>
      <c r="B956" s="203"/>
      <c r="C956" s="203"/>
      <c r="D956" s="203"/>
      <c r="E956" s="203"/>
      <c r="F956" s="203"/>
    </row>
    <row r="957" spans="1:6">
      <c r="A957" s="204"/>
      <c r="B957" s="203"/>
      <c r="C957" s="203"/>
      <c r="D957" s="203"/>
      <c r="E957" s="203"/>
      <c r="F957" s="203"/>
    </row>
    <row r="958" spans="1:6">
      <c r="A958" s="204"/>
      <c r="B958" s="203"/>
      <c r="C958" s="203"/>
      <c r="D958" s="203"/>
      <c r="E958" s="203"/>
      <c r="F958" s="203"/>
    </row>
    <row r="959" spans="1:6">
      <c r="A959" s="204"/>
      <c r="B959" s="203"/>
      <c r="C959" s="203"/>
      <c r="D959" s="203"/>
      <c r="E959" s="203"/>
      <c r="F959" s="203"/>
    </row>
    <row r="960" spans="1:6">
      <c r="A960" s="204"/>
      <c r="B960" s="203"/>
      <c r="C960" s="203"/>
      <c r="D960" s="203"/>
      <c r="E960" s="203"/>
      <c r="F960" s="203"/>
    </row>
    <row r="961" spans="1:6">
      <c r="A961" s="204"/>
      <c r="B961" s="203"/>
      <c r="C961" s="203"/>
      <c r="D961" s="203"/>
      <c r="E961" s="203"/>
      <c r="F961" s="203"/>
    </row>
    <row r="962" spans="1:6">
      <c r="A962" s="204"/>
      <c r="B962" s="203"/>
      <c r="C962" s="203"/>
      <c r="D962" s="203"/>
      <c r="E962" s="203"/>
      <c r="F962" s="203"/>
    </row>
    <row r="963" spans="1:6">
      <c r="A963" s="204"/>
      <c r="B963" s="203"/>
      <c r="C963" s="203"/>
      <c r="D963" s="203"/>
      <c r="E963" s="203"/>
      <c r="F963" s="203"/>
    </row>
    <row r="964" spans="1:6">
      <c r="A964" s="204"/>
      <c r="B964" s="203"/>
      <c r="C964" s="203"/>
      <c r="D964" s="203"/>
      <c r="E964" s="203"/>
      <c r="F964" s="203"/>
    </row>
    <row r="965" spans="1:6">
      <c r="A965" s="204"/>
      <c r="B965" s="203"/>
      <c r="C965" s="203"/>
      <c r="D965" s="203"/>
      <c r="E965" s="203"/>
      <c r="F965" s="203"/>
    </row>
    <row r="966" spans="1:6">
      <c r="A966" s="204"/>
      <c r="B966" s="203"/>
      <c r="C966" s="203"/>
      <c r="D966" s="203"/>
      <c r="E966" s="203"/>
      <c r="F966" s="203"/>
    </row>
    <row r="967" spans="1:6">
      <c r="A967" s="204"/>
      <c r="B967" s="203"/>
      <c r="C967" s="203"/>
      <c r="D967" s="203"/>
      <c r="E967" s="203"/>
      <c r="F967" s="203"/>
    </row>
    <row r="968" spans="1:6">
      <c r="A968" s="204"/>
      <c r="B968" s="203"/>
      <c r="C968" s="203"/>
      <c r="D968" s="203"/>
      <c r="E968" s="203"/>
      <c r="F968" s="203"/>
    </row>
    <row r="969" spans="1:6">
      <c r="A969" s="204"/>
      <c r="B969" s="203"/>
      <c r="C969" s="203"/>
      <c r="D969" s="203"/>
      <c r="E969" s="203"/>
      <c r="F969" s="203"/>
    </row>
    <row r="970" spans="1:6">
      <c r="A970" s="204"/>
      <c r="B970" s="203"/>
      <c r="C970" s="203"/>
      <c r="D970" s="203"/>
      <c r="E970" s="203"/>
      <c r="F970" s="203"/>
    </row>
    <row r="971" spans="1:6">
      <c r="A971" s="204"/>
      <c r="B971" s="203"/>
      <c r="C971" s="203"/>
      <c r="D971" s="203"/>
      <c r="E971" s="203"/>
      <c r="F971" s="203"/>
    </row>
    <row r="972" spans="1:6">
      <c r="A972" s="204"/>
      <c r="B972" s="203"/>
      <c r="C972" s="203"/>
      <c r="D972" s="203"/>
      <c r="E972" s="203"/>
      <c r="F972" s="203"/>
    </row>
    <row r="973" spans="1:6">
      <c r="A973" s="204"/>
      <c r="B973" s="203"/>
      <c r="C973" s="203"/>
      <c r="D973" s="203"/>
      <c r="E973" s="203"/>
      <c r="F973" s="203"/>
    </row>
    <row r="974" spans="1:6">
      <c r="A974" s="204"/>
      <c r="B974" s="203"/>
      <c r="C974" s="203"/>
      <c r="D974" s="203"/>
      <c r="E974" s="203"/>
      <c r="F974" s="203"/>
    </row>
    <row r="975" spans="1:6">
      <c r="A975" s="204"/>
      <c r="B975" s="203"/>
      <c r="C975" s="203"/>
      <c r="D975" s="203"/>
      <c r="E975" s="203"/>
      <c r="F975" s="203"/>
    </row>
    <row r="976" spans="1:6">
      <c r="A976" s="204"/>
      <c r="B976" s="203"/>
      <c r="C976" s="203"/>
      <c r="D976" s="203"/>
      <c r="E976" s="203"/>
      <c r="F976" s="203"/>
    </row>
    <row r="977" spans="1:6">
      <c r="A977" s="204"/>
      <c r="B977" s="203"/>
      <c r="C977" s="203"/>
      <c r="D977" s="203"/>
      <c r="E977" s="203"/>
      <c r="F977" s="203"/>
    </row>
    <row r="978" spans="1:6">
      <c r="A978" s="204"/>
      <c r="B978" s="203"/>
      <c r="C978" s="203"/>
      <c r="D978" s="203"/>
      <c r="E978" s="203"/>
      <c r="F978" s="203"/>
    </row>
    <row r="979" spans="1:6">
      <c r="A979" s="204"/>
      <c r="B979" s="203"/>
      <c r="C979" s="203"/>
      <c r="D979" s="203"/>
      <c r="E979" s="203"/>
      <c r="F979" s="203"/>
    </row>
    <row r="980" spans="1:6">
      <c r="A980" s="204"/>
      <c r="B980" s="203"/>
      <c r="C980" s="203"/>
      <c r="D980" s="203"/>
      <c r="E980" s="203"/>
      <c r="F980" s="203"/>
    </row>
    <row r="981" spans="1:6">
      <c r="A981" s="204"/>
      <c r="B981" s="203"/>
      <c r="C981" s="203"/>
      <c r="D981" s="203"/>
      <c r="E981" s="203"/>
      <c r="F981" s="203"/>
    </row>
    <row r="982" spans="1:6">
      <c r="A982" s="204"/>
      <c r="B982" s="203"/>
      <c r="C982" s="203"/>
      <c r="D982" s="203"/>
      <c r="E982" s="203"/>
      <c r="F982" s="203"/>
    </row>
    <row r="983" spans="1:6">
      <c r="A983" s="204"/>
      <c r="B983" s="203"/>
      <c r="C983" s="203"/>
      <c r="D983" s="203"/>
      <c r="E983" s="203"/>
      <c r="F983" s="203"/>
    </row>
    <row r="984" spans="1:6">
      <c r="A984" s="204"/>
      <c r="B984" s="203"/>
      <c r="C984" s="203"/>
      <c r="D984" s="203"/>
      <c r="E984" s="203"/>
      <c r="F984" s="203"/>
    </row>
    <row r="985" spans="1:6">
      <c r="A985" s="204"/>
      <c r="B985" s="203"/>
      <c r="C985" s="203"/>
      <c r="D985" s="203"/>
      <c r="E985" s="203"/>
      <c r="F985" s="203"/>
    </row>
    <row r="986" spans="1:6">
      <c r="A986" s="204"/>
      <c r="B986" s="203"/>
      <c r="C986" s="203"/>
      <c r="D986" s="203"/>
      <c r="E986" s="203"/>
      <c r="F986" s="203"/>
    </row>
    <row r="987" spans="1:6">
      <c r="A987" s="204"/>
      <c r="B987" s="203"/>
      <c r="C987" s="203"/>
      <c r="D987" s="203"/>
      <c r="E987" s="203"/>
      <c r="F987" s="203"/>
    </row>
    <row r="988" spans="1:6">
      <c r="A988" s="204"/>
      <c r="B988" s="203"/>
      <c r="C988" s="203"/>
      <c r="D988" s="203"/>
      <c r="E988" s="203"/>
      <c r="F988" s="203"/>
    </row>
    <row r="989" spans="1:6">
      <c r="A989" s="204"/>
      <c r="B989" s="203"/>
      <c r="C989" s="203"/>
      <c r="D989" s="203"/>
      <c r="E989" s="203"/>
      <c r="F989" s="203"/>
    </row>
    <row r="990" spans="1:6">
      <c r="A990" s="204"/>
      <c r="B990" s="203"/>
      <c r="C990" s="203"/>
      <c r="D990" s="203"/>
      <c r="E990" s="203"/>
      <c r="F990" s="203"/>
    </row>
    <row r="991" spans="1:6">
      <c r="A991" s="204"/>
      <c r="B991" s="203"/>
      <c r="C991" s="203"/>
      <c r="D991" s="203"/>
      <c r="E991" s="203"/>
      <c r="F991" s="203"/>
    </row>
    <row r="992" spans="1:6">
      <c r="A992" s="204"/>
      <c r="B992" s="203"/>
      <c r="C992" s="203"/>
      <c r="D992" s="203"/>
      <c r="E992" s="203"/>
      <c r="F992" s="203"/>
    </row>
    <row r="993" spans="1:6">
      <c r="A993" s="204"/>
      <c r="B993" s="203"/>
      <c r="C993" s="203"/>
      <c r="D993" s="203"/>
      <c r="E993" s="203"/>
      <c r="F993" s="203"/>
    </row>
    <row r="994" spans="1:6">
      <c r="A994" s="204"/>
      <c r="B994" s="203"/>
      <c r="C994" s="203"/>
      <c r="D994" s="203"/>
      <c r="E994" s="203"/>
      <c r="F994" s="203"/>
    </row>
    <row r="995" spans="1:6">
      <c r="A995" s="204"/>
      <c r="B995" s="203"/>
      <c r="C995" s="203"/>
      <c r="D995" s="203"/>
      <c r="E995" s="203"/>
      <c r="F995" s="203"/>
    </row>
    <row r="996" spans="1:6">
      <c r="A996" s="204"/>
      <c r="B996" s="203"/>
      <c r="C996" s="203"/>
      <c r="D996" s="203"/>
      <c r="E996" s="203"/>
      <c r="F996" s="203"/>
    </row>
    <row r="997" spans="1:6">
      <c r="A997" s="204"/>
      <c r="B997" s="203"/>
      <c r="C997" s="203"/>
      <c r="D997" s="203"/>
      <c r="E997" s="203"/>
      <c r="F997" s="203"/>
    </row>
    <row r="998" spans="1:6">
      <c r="A998" s="204"/>
      <c r="B998" s="203"/>
      <c r="C998" s="203"/>
      <c r="D998" s="203"/>
      <c r="E998" s="203"/>
      <c r="F998" s="203"/>
    </row>
    <row r="999" spans="1:6">
      <c r="A999" s="204"/>
      <c r="B999" s="203"/>
      <c r="C999" s="203"/>
      <c r="D999" s="203"/>
      <c r="E999" s="203"/>
      <c r="F999" s="203"/>
    </row>
    <row r="1000" spans="1:6">
      <c r="A1000" s="204"/>
      <c r="B1000" s="203"/>
      <c r="C1000" s="203"/>
      <c r="D1000" s="203"/>
      <c r="E1000" s="203"/>
      <c r="F1000" s="203"/>
    </row>
    <row r="1001" spans="1:6">
      <c r="A1001" s="204"/>
      <c r="B1001" s="203"/>
      <c r="C1001" s="203"/>
      <c r="D1001" s="203"/>
      <c r="E1001" s="203"/>
      <c r="F1001" s="203"/>
    </row>
    <row r="1002" spans="1:6">
      <c r="A1002" s="204"/>
      <c r="B1002" s="203"/>
      <c r="C1002" s="203"/>
      <c r="D1002" s="203"/>
      <c r="E1002" s="203"/>
      <c r="F1002" s="203"/>
    </row>
    <row r="1003" spans="1:6">
      <c r="A1003" s="204"/>
      <c r="B1003" s="203"/>
      <c r="C1003" s="203"/>
      <c r="D1003" s="203"/>
      <c r="E1003" s="203"/>
      <c r="F1003" s="203"/>
    </row>
    <row r="1004" spans="1:6">
      <c r="A1004" s="204"/>
      <c r="B1004" s="203"/>
      <c r="C1004" s="203"/>
      <c r="D1004" s="203"/>
      <c r="E1004" s="203"/>
      <c r="F1004" s="203"/>
    </row>
    <row r="1005" spans="1:6">
      <c r="A1005" s="204"/>
      <c r="B1005" s="203"/>
      <c r="C1005" s="203"/>
      <c r="D1005" s="203"/>
      <c r="E1005" s="203"/>
      <c r="F1005" s="203"/>
    </row>
    <row r="1006" spans="1:6">
      <c r="A1006" s="204"/>
      <c r="B1006" s="203"/>
      <c r="C1006" s="203"/>
      <c r="D1006" s="203"/>
      <c r="E1006" s="203"/>
      <c r="F1006" s="203"/>
    </row>
    <row r="1007" spans="1:6">
      <c r="A1007" s="204"/>
      <c r="B1007" s="203"/>
      <c r="C1007" s="203"/>
      <c r="D1007" s="203"/>
      <c r="E1007" s="203"/>
      <c r="F1007" s="203"/>
    </row>
    <row r="1008" spans="1:6">
      <c r="A1008" s="204"/>
      <c r="B1008" s="203"/>
      <c r="C1008" s="203"/>
      <c r="D1008" s="203"/>
      <c r="E1008" s="203"/>
      <c r="F1008" s="203"/>
    </row>
    <row r="1009" spans="1:6">
      <c r="A1009" s="204"/>
      <c r="B1009" s="203"/>
      <c r="C1009" s="203"/>
      <c r="D1009" s="203"/>
      <c r="E1009" s="203"/>
      <c r="F1009" s="203"/>
    </row>
    <row r="1010" spans="1:6">
      <c r="A1010" s="204"/>
      <c r="B1010" s="203"/>
      <c r="C1010" s="203"/>
      <c r="D1010" s="203"/>
      <c r="E1010" s="203"/>
      <c r="F1010" s="203"/>
    </row>
    <row r="1011" spans="1:6">
      <c r="A1011" s="204"/>
      <c r="B1011" s="203"/>
      <c r="C1011" s="203"/>
      <c r="D1011" s="203"/>
      <c r="E1011" s="203"/>
      <c r="F1011" s="203"/>
    </row>
    <row r="1012" spans="1:6">
      <c r="A1012" s="204"/>
      <c r="B1012" s="203"/>
      <c r="C1012" s="203"/>
      <c r="D1012" s="203"/>
      <c r="E1012" s="203"/>
      <c r="F1012" s="203"/>
    </row>
    <row r="1013" spans="1:6">
      <c r="A1013" s="204"/>
      <c r="B1013" s="203"/>
      <c r="C1013" s="203"/>
      <c r="D1013" s="203"/>
      <c r="E1013" s="203"/>
      <c r="F1013" s="203"/>
    </row>
    <row r="1014" spans="1:6">
      <c r="A1014" s="204"/>
      <c r="B1014" s="203"/>
      <c r="C1014" s="203"/>
      <c r="D1014" s="203"/>
      <c r="E1014" s="203"/>
      <c r="F1014" s="203"/>
    </row>
    <row r="1015" spans="1:6">
      <c r="A1015" s="204"/>
      <c r="B1015" s="203"/>
      <c r="C1015" s="203"/>
      <c r="D1015" s="203"/>
      <c r="E1015" s="203"/>
      <c r="F1015" s="203"/>
    </row>
    <row r="1016" spans="1:6">
      <c r="A1016" s="204"/>
      <c r="B1016" s="203"/>
      <c r="C1016" s="203"/>
      <c r="D1016" s="203"/>
      <c r="E1016" s="203"/>
      <c r="F1016" s="203"/>
    </row>
    <row r="1017" spans="1:6">
      <c r="A1017" s="204"/>
      <c r="B1017" s="203"/>
      <c r="C1017" s="203"/>
      <c r="D1017" s="203"/>
      <c r="E1017" s="203"/>
      <c r="F1017" s="203"/>
    </row>
    <row r="1018" spans="1:6">
      <c r="A1018" s="204"/>
      <c r="B1018" s="203"/>
      <c r="C1018" s="203"/>
      <c r="D1018" s="203"/>
      <c r="E1018" s="203"/>
      <c r="F1018" s="203"/>
    </row>
    <row r="1019" spans="1:6">
      <c r="A1019" s="204"/>
      <c r="B1019" s="203"/>
      <c r="C1019" s="203"/>
      <c r="D1019" s="203"/>
      <c r="E1019" s="203"/>
      <c r="F1019" s="203"/>
    </row>
    <row r="1020" spans="1:6">
      <c r="A1020" s="204"/>
      <c r="B1020" s="203"/>
      <c r="C1020" s="203"/>
      <c r="D1020" s="203"/>
      <c r="E1020" s="203"/>
      <c r="F1020" s="203"/>
    </row>
    <row r="1021" spans="1:6">
      <c r="A1021" s="204"/>
      <c r="B1021" s="203"/>
      <c r="C1021" s="203"/>
      <c r="D1021" s="203"/>
      <c r="E1021" s="203"/>
      <c r="F1021" s="203"/>
    </row>
    <row r="1022" spans="1:6">
      <c r="A1022" s="204"/>
      <c r="B1022" s="203"/>
      <c r="C1022" s="203"/>
      <c r="D1022" s="203"/>
      <c r="E1022" s="203"/>
      <c r="F1022" s="203"/>
    </row>
    <row r="1023" spans="1:6">
      <c r="A1023" s="204"/>
      <c r="B1023" s="203"/>
      <c r="C1023" s="203"/>
      <c r="D1023" s="203"/>
      <c r="E1023" s="203"/>
      <c r="F1023" s="203"/>
    </row>
    <row r="1024" spans="1:6">
      <c r="A1024" s="204"/>
      <c r="B1024" s="203"/>
      <c r="C1024" s="203"/>
      <c r="D1024" s="203"/>
      <c r="E1024" s="203"/>
      <c r="F1024" s="203"/>
    </row>
    <row r="1025" spans="1:6">
      <c r="A1025" s="204"/>
      <c r="B1025" s="203"/>
      <c r="C1025" s="203"/>
      <c r="D1025" s="203"/>
      <c r="E1025" s="203"/>
      <c r="F1025" s="203"/>
    </row>
    <row r="1026" spans="1:6">
      <c r="A1026" s="204"/>
      <c r="B1026" s="203"/>
      <c r="C1026" s="203"/>
      <c r="D1026" s="203"/>
      <c r="E1026" s="203"/>
      <c r="F1026" s="203"/>
    </row>
    <row r="1027" spans="1:6">
      <c r="A1027" s="204"/>
      <c r="B1027" s="203"/>
      <c r="C1027" s="203"/>
      <c r="D1027" s="203"/>
      <c r="E1027" s="203"/>
      <c r="F1027" s="203"/>
    </row>
    <row r="1028" spans="1:6">
      <c r="A1028" s="204"/>
      <c r="B1028" s="203"/>
      <c r="C1028" s="203"/>
      <c r="D1028" s="203"/>
      <c r="E1028" s="203"/>
      <c r="F1028" s="203"/>
    </row>
    <row r="1029" spans="1:6">
      <c r="A1029" s="204"/>
      <c r="B1029" s="203"/>
      <c r="C1029" s="203"/>
      <c r="D1029" s="203"/>
      <c r="E1029" s="203"/>
      <c r="F1029" s="203"/>
    </row>
    <row r="1030" spans="1:6">
      <c r="A1030" s="204"/>
      <c r="B1030" s="203"/>
      <c r="C1030" s="203"/>
      <c r="D1030" s="203"/>
      <c r="E1030" s="203"/>
      <c r="F1030" s="203"/>
    </row>
    <row r="1031" spans="1:6">
      <c r="A1031" s="204"/>
      <c r="B1031" s="203"/>
      <c r="C1031" s="203"/>
      <c r="D1031" s="203"/>
      <c r="E1031" s="203"/>
      <c r="F1031" s="203"/>
    </row>
    <row r="1032" spans="1:6">
      <c r="A1032" s="204"/>
      <c r="B1032" s="203"/>
      <c r="C1032" s="203"/>
      <c r="D1032" s="203"/>
      <c r="E1032" s="203"/>
      <c r="F1032" s="203"/>
    </row>
    <row r="1033" spans="1:6">
      <c r="A1033" s="204"/>
      <c r="B1033" s="203"/>
      <c r="C1033" s="203"/>
      <c r="D1033" s="203"/>
      <c r="E1033" s="203"/>
      <c r="F1033" s="203"/>
    </row>
    <row r="1034" spans="1:6">
      <c r="A1034" s="204"/>
      <c r="B1034" s="203"/>
      <c r="C1034" s="203"/>
      <c r="D1034" s="203"/>
      <c r="E1034" s="203"/>
      <c r="F1034" s="203"/>
    </row>
    <row r="1035" spans="1:6">
      <c r="A1035" s="204"/>
      <c r="B1035" s="203"/>
      <c r="C1035" s="203"/>
      <c r="D1035" s="203"/>
      <c r="E1035" s="203"/>
      <c r="F1035" s="203"/>
    </row>
    <row r="1036" spans="1:6">
      <c r="A1036" s="204"/>
      <c r="B1036" s="203"/>
      <c r="C1036" s="203"/>
      <c r="D1036" s="203"/>
      <c r="E1036" s="203"/>
      <c r="F1036" s="203"/>
    </row>
    <row r="1037" spans="1:6">
      <c r="A1037" s="204"/>
      <c r="B1037" s="203"/>
      <c r="C1037" s="203"/>
      <c r="D1037" s="203"/>
      <c r="E1037" s="203"/>
      <c r="F1037" s="203"/>
    </row>
    <row r="1038" spans="1:6">
      <c r="A1038" s="204"/>
      <c r="B1038" s="203"/>
      <c r="C1038" s="203"/>
      <c r="D1038" s="203"/>
      <c r="E1038" s="203"/>
      <c r="F1038" s="203"/>
    </row>
    <row r="1039" spans="1:6">
      <c r="A1039" s="204"/>
      <c r="B1039" s="203"/>
      <c r="C1039" s="203"/>
      <c r="D1039" s="203"/>
      <c r="E1039" s="203"/>
      <c r="F1039" s="203"/>
    </row>
    <row r="1040" spans="1:6">
      <c r="A1040" s="204"/>
      <c r="B1040" s="203"/>
      <c r="C1040" s="203"/>
      <c r="D1040" s="203"/>
      <c r="E1040" s="203"/>
      <c r="F1040" s="203"/>
    </row>
    <row r="1041" spans="1:6">
      <c r="A1041" s="204"/>
      <c r="B1041" s="203"/>
      <c r="C1041" s="203"/>
      <c r="D1041" s="203"/>
      <c r="E1041" s="203"/>
      <c r="F1041" s="203"/>
    </row>
    <row r="1042" spans="1:6">
      <c r="A1042" s="204"/>
      <c r="B1042" s="203"/>
      <c r="C1042" s="203"/>
      <c r="D1042" s="203"/>
      <c r="E1042" s="203"/>
      <c r="F1042" s="203"/>
    </row>
    <row r="1043" spans="1:6">
      <c r="A1043" s="204"/>
      <c r="B1043" s="203"/>
      <c r="C1043" s="203"/>
      <c r="D1043" s="203"/>
      <c r="E1043" s="203"/>
      <c r="F1043" s="203"/>
    </row>
    <row r="1044" spans="1:6">
      <c r="A1044" s="204"/>
      <c r="B1044" s="203"/>
      <c r="C1044" s="203"/>
      <c r="D1044" s="203"/>
      <c r="E1044" s="203"/>
      <c r="F1044" s="203"/>
    </row>
    <row r="1045" spans="1:6">
      <c r="A1045" s="204"/>
      <c r="B1045" s="203"/>
      <c r="C1045" s="203"/>
      <c r="D1045" s="203"/>
      <c r="E1045" s="203"/>
      <c r="F1045" s="203"/>
    </row>
    <row r="1046" spans="1:6">
      <c r="A1046" s="204"/>
      <c r="B1046" s="203"/>
      <c r="C1046" s="203"/>
      <c r="D1046" s="203"/>
      <c r="E1046" s="203"/>
      <c r="F1046" s="203"/>
    </row>
    <row r="1047" spans="1:6">
      <c r="A1047" s="204"/>
      <c r="B1047" s="203"/>
      <c r="C1047" s="203"/>
      <c r="D1047" s="203"/>
      <c r="E1047" s="203"/>
      <c r="F1047" s="203"/>
    </row>
    <row r="1048" spans="1:6">
      <c r="A1048" s="204"/>
      <c r="B1048" s="203"/>
      <c r="C1048" s="203"/>
      <c r="D1048" s="203"/>
      <c r="E1048" s="203"/>
      <c r="F1048" s="203"/>
    </row>
    <row r="1049" spans="1:6">
      <c r="A1049" s="204"/>
      <c r="B1049" s="203"/>
      <c r="C1049" s="203"/>
      <c r="D1049" s="203"/>
      <c r="E1049" s="203"/>
      <c r="F1049" s="203"/>
    </row>
    <row r="1050" spans="1:6">
      <c r="A1050" s="204"/>
      <c r="B1050" s="203"/>
      <c r="C1050" s="203"/>
      <c r="D1050" s="203"/>
      <c r="E1050" s="203"/>
      <c r="F1050" s="203"/>
    </row>
    <row r="1051" spans="1:6">
      <c r="A1051" s="204"/>
      <c r="B1051" s="203"/>
      <c r="C1051" s="203"/>
      <c r="D1051" s="203"/>
      <c r="E1051" s="203"/>
      <c r="F1051" s="203"/>
    </row>
    <row r="1052" spans="1:6">
      <c r="A1052" s="204"/>
      <c r="B1052" s="203"/>
      <c r="C1052" s="203"/>
      <c r="D1052" s="203"/>
      <c r="E1052" s="203"/>
      <c r="F1052" s="203"/>
    </row>
    <row r="1053" spans="1:6">
      <c r="A1053" s="204"/>
      <c r="B1053" s="203"/>
      <c r="C1053" s="203"/>
      <c r="D1053" s="203"/>
      <c r="E1053" s="203"/>
      <c r="F1053" s="203"/>
    </row>
    <row r="1054" spans="1:6">
      <c r="A1054" s="204"/>
      <c r="B1054" s="203"/>
      <c r="C1054" s="203"/>
      <c r="D1054" s="203"/>
      <c r="E1054" s="203"/>
      <c r="F1054" s="203"/>
    </row>
    <row r="1055" spans="1:6">
      <c r="A1055" s="204"/>
      <c r="B1055" s="203"/>
      <c r="C1055" s="203"/>
      <c r="D1055" s="203"/>
      <c r="E1055" s="203"/>
      <c r="F1055" s="203"/>
    </row>
    <row r="1056" spans="1:6">
      <c r="A1056" s="204"/>
      <c r="B1056" s="203"/>
      <c r="C1056" s="203"/>
      <c r="D1056" s="203"/>
      <c r="E1056" s="203"/>
      <c r="F1056" s="203"/>
    </row>
    <row r="1057" spans="1:6">
      <c r="A1057" s="204"/>
      <c r="B1057" s="203"/>
      <c r="C1057" s="203"/>
      <c r="D1057" s="203"/>
      <c r="E1057" s="203"/>
      <c r="F1057" s="203"/>
    </row>
    <row r="1058" spans="1:6">
      <c r="A1058" s="204"/>
      <c r="B1058" s="203"/>
      <c r="C1058" s="203"/>
      <c r="D1058" s="203"/>
      <c r="E1058" s="203"/>
      <c r="F1058" s="203"/>
    </row>
    <row r="1059" spans="1:6">
      <c r="A1059" s="204"/>
      <c r="B1059" s="203"/>
      <c r="C1059" s="203"/>
      <c r="D1059" s="203"/>
      <c r="E1059" s="203"/>
      <c r="F1059" s="203"/>
    </row>
    <row r="1060" spans="1:6">
      <c r="A1060" s="204"/>
      <c r="B1060" s="203"/>
      <c r="C1060" s="203"/>
      <c r="D1060" s="203"/>
      <c r="E1060" s="203"/>
      <c r="F1060" s="203"/>
    </row>
    <row r="1061" spans="1:6">
      <c r="A1061" s="204"/>
      <c r="B1061" s="203"/>
      <c r="C1061" s="203"/>
      <c r="D1061" s="203"/>
      <c r="E1061" s="203"/>
      <c r="F1061" s="203"/>
    </row>
    <row r="1062" spans="1:6">
      <c r="A1062" s="204"/>
      <c r="B1062" s="203"/>
      <c r="C1062" s="203"/>
      <c r="D1062" s="203"/>
      <c r="E1062" s="203"/>
      <c r="F1062" s="203"/>
    </row>
    <row r="1063" spans="1:6">
      <c r="A1063" s="204"/>
      <c r="B1063" s="203"/>
      <c r="C1063" s="203"/>
      <c r="D1063" s="203"/>
      <c r="E1063" s="203"/>
      <c r="F1063" s="203"/>
    </row>
    <row r="1064" spans="1:6">
      <c r="A1064" s="204"/>
      <c r="B1064" s="203"/>
      <c r="C1064" s="203"/>
      <c r="D1064" s="203"/>
      <c r="E1064" s="203"/>
      <c r="F1064" s="203"/>
    </row>
    <row r="1065" spans="1:6">
      <c r="A1065" s="204"/>
      <c r="B1065" s="203"/>
      <c r="C1065" s="203"/>
      <c r="D1065" s="203"/>
      <c r="E1065" s="203"/>
      <c r="F1065" s="203"/>
    </row>
    <row r="1066" spans="1:6">
      <c r="A1066" s="204"/>
      <c r="B1066" s="203"/>
      <c r="C1066" s="203"/>
      <c r="D1066" s="203"/>
      <c r="E1066" s="203"/>
      <c r="F1066" s="203"/>
    </row>
    <row r="1067" spans="1:6">
      <c r="A1067" s="204"/>
      <c r="B1067" s="203"/>
      <c r="C1067" s="203"/>
      <c r="D1067" s="203"/>
      <c r="E1067" s="203"/>
      <c r="F1067" s="203"/>
    </row>
    <row r="1068" spans="1:6">
      <c r="A1068" s="204"/>
      <c r="B1068" s="203"/>
      <c r="C1068" s="203"/>
      <c r="D1068" s="203"/>
      <c r="E1068" s="203"/>
      <c r="F1068" s="203"/>
    </row>
    <row r="1069" spans="1:6">
      <c r="A1069" s="204"/>
      <c r="B1069" s="203"/>
      <c r="C1069" s="203"/>
      <c r="D1069" s="203"/>
      <c r="E1069" s="203"/>
      <c r="F1069" s="203"/>
    </row>
    <row r="1070" spans="1:6">
      <c r="A1070" s="204"/>
      <c r="B1070" s="203"/>
      <c r="C1070" s="203"/>
      <c r="D1070" s="203"/>
      <c r="E1070" s="203"/>
      <c r="F1070" s="203"/>
    </row>
    <row r="1071" spans="1:6">
      <c r="A1071" s="204"/>
      <c r="B1071" s="203"/>
      <c r="C1071" s="203"/>
      <c r="D1071" s="203"/>
      <c r="E1071" s="203"/>
      <c r="F1071" s="203"/>
    </row>
    <row r="1072" spans="1:6">
      <c r="A1072" s="204"/>
      <c r="B1072" s="203"/>
      <c r="C1072" s="203"/>
      <c r="D1072" s="203"/>
      <c r="E1072" s="203"/>
      <c r="F1072" s="203"/>
    </row>
    <row r="1073" spans="1:6">
      <c r="A1073" s="204"/>
      <c r="B1073" s="203"/>
      <c r="C1073" s="203"/>
      <c r="D1073" s="203"/>
      <c r="E1073" s="203"/>
      <c r="F1073" s="203"/>
    </row>
    <row r="1074" spans="1:6">
      <c r="A1074" s="204"/>
      <c r="B1074" s="203"/>
      <c r="C1074" s="203"/>
      <c r="D1074" s="203"/>
      <c r="E1074" s="203"/>
      <c r="F1074" s="203"/>
    </row>
    <row r="1075" spans="1:6">
      <c r="A1075" s="204"/>
      <c r="B1075" s="203"/>
      <c r="C1075" s="203"/>
      <c r="D1075" s="203"/>
      <c r="E1075" s="203"/>
      <c r="F1075" s="203"/>
    </row>
    <row r="1076" spans="1:6">
      <c r="A1076" s="204"/>
      <c r="B1076" s="203"/>
      <c r="C1076" s="203"/>
      <c r="D1076" s="203"/>
      <c r="E1076" s="203"/>
      <c r="F1076" s="203"/>
    </row>
    <row r="1077" spans="1:6">
      <c r="A1077" s="204"/>
      <c r="B1077" s="203"/>
      <c r="C1077" s="203"/>
      <c r="D1077" s="203"/>
      <c r="E1077" s="203"/>
      <c r="F1077" s="203"/>
    </row>
    <row r="1078" spans="1:6">
      <c r="A1078" s="204"/>
      <c r="B1078" s="203"/>
      <c r="C1078" s="203"/>
      <c r="D1078" s="203"/>
      <c r="E1078" s="203"/>
      <c r="F1078" s="203"/>
    </row>
    <row r="1079" spans="1:6">
      <c r="A1079" s="204"/>
      <c r="B1079" s="203"/>
      <c r="C1079" s="203"/>
      <c r="D1079" s="203"/>
      <c r="E1079" s="203"/>
      <c r="F1079" s="203"/>
    </row>
    <row r="1080" spans="1:6">
      <c r="A1080" s="204"/>
      <c r="B1080" s="203"/>
      <c r="C1080" s="203"/>
      <c r="D1080" s="203"/>
      <c r="E1080" s="203"/>
      <c r="F1080" s="203"/>
    </row>
    <row r="1081" spans="1:6">
      <c r="A1081" s="204"/>
      <c r="B1081" s="203"/>
      <c r="C1081" s="203"/>
      <c r="D1081" s="203"/>
      <c r="E1081" s="203"/>
      <c r="F1081" s="203"/>
    </row>
    <row r="1082" spans="1:6">
      <c r="A1082" s="204"/>
      <c r="B1082" s="203"/>
      <c r="C1082" s="203"/>
      <c r="D1082" s="203"/>
      <c r="E1082" s="203"/>
      <c r="F1082" s="203"/>
    </row>
    <row r="1083" spans="1:6">
      <c r="A1083" s="204"/>
      <c r="B1083" s="203"/>
      <c r="C1083" s="203"/>
      <c r="D1083" s="203"/>
      <c r="E1083" s="203"/>
      <c r="F1083" s="203"/>
    </row>
    <row r="1084" spans="1:6">
      <c r="A1084" s="204"/>
      <c r="B1084" s="203"/>
      <c r="C1084" s="203"/>
      <c r="D1084" s="203"/>
      <c r="E1084" s="203"/>
      <c r="F1084" s="203"/>
    </row>
    <row r="1085" spans="1:6">
      <c r="A1085" s="204"/>
      <c r="B1085" s="203"/>
      <c r="C1085" s="203"/>
      <c r="D1085" s="203"/>
      <c r="E1085" s="203"/>
      <c r="F1085" s="203"/>
    </row>
    <row r="1086" spans="1:6">
      <c r="A1086" s="204"/>
      <c r="B1086" s="203"/>
      <c r="C1086" s="203"/>
      <c r="D1086" s="203"/>
      <c r="E1086" s="203"/>
      <c r="F1086" s="203"/>
    </row>
    <row r="1087" spans="1:6">
      <c r="A1087" s="204"/>
      <c r="B1087" s="203"/>
      <c r="C1087" s="203"/>
      <c r="D1087" s="203"/>
      <c r="E1087" s="203"/>
      <c r="F1087" s="203"/>
    </row>
    <row r="1088" spans="1:6">
      <c r="A1088" s="204"/>
      <c r="B1088" s="203"/>
      <c r="C1088" s="203"/>
      <c r="D1088" s="203"/>
      <c r="E1088" s="203"/>
      <c r="F1088" s="203"/>
    </row>
    <row r="1089" spans="1:6">
      <c r="A1089" s="204"/>
      <c r="B1089" s="203"/>
      <c r="C1089" s="203"/>
      <c r="D1089" s="203"/>
      <c r="E1089" s="203"/>
      <c r="F1089" s="203"/>
    </row>
    <row r="1090" spans="1:6">
      <c r="A1090" s="204"/>
      <c r="B1090" s="203"/>
      <c r="C1090" s="203"/>
      <c r="D1090" s="203"/>
      <c r="E1090" s="203"/>
      <c r="F1090" s="203"/>
    </row>
    <row r="1091" spans="1:6">
      <c r="A1091" s="204"/>
      <c r="B1091" s="203"/>
      <c r="C1091" s="203"/>
      <c r="D1091" s="203"/>
      <c r="E1091" s="203"/>
      <c r="F1091" s="203"/>
    </row>
    <row r="1092" spans="1:6">
      <c r="A1092" s="204"/>
      <c r="B1092" s="203"/>
      <c r="C1092" s="203"/>
      <c r="D1092" s="203"/>
      <c r="E1092" s="203"/>
      <c r="F1092" s="203"/>
    </row>
    <row r="1093" spans="1:6">
      <c r="A1093" s="204"/>
      <c r="B1093" s="203"/>
      <c r="C1093" s="203"/>
      <c r="D1093" s="203"/>
      <c r="E1093" s="203"/>
      <c r="F1093" s="203"/>
    </row>
    <row r="1094" spans="1:6">
      <c r="A1094" s="204"/>
      <c r="B1094" s="203"/>
      <c r="C1094" s="203"/>
      <c r="D1094" s="203"/>
      <c r="E1094" s="203"/>
      <c r="F1094" s="203"/>
    </row>
    <row r="1095" spans="1:6">
      <c r="A1095" s="204"/>
      <c r="B1095" s="203"/>
      <c r="C1095" s="203"/>
      <c r="D1095" s="203"/>
      <c r="E1095" s="203"/>
      <c r="F1095" s="203"/>
    </row>
    <row r="1096" spans="1:6">
      <c r="A1096" s="204"/>
      <c r="B1096" s="203"/>
      <c r="C1096" s="203"/>
      <c r="D1096" s="203"/>
      <c r="E1096" s="203"/>
      <c r="F1096" s="203"/>
    </row>
    <row r="1097" spans="1:6">
      <c r="A1097" s="204"/>
      <c r="B1097" s="203"/>
      <c r="C1097" s="203"/>
      <c r="D1097" s="203"/>
      <c r="E1097" s="203"/>
      <c r="F1097" s="203"/>
    </row>
    <row r="1098" spans="1:6">
      <c r="A1098" s="204"/>
      <c r="B1098" s="203"/>
      <c r="C1098" s="203"/>
      <c r="D1098" s="203"/>
      <c r="E1098" s="203"/>
      <c r="F1098" s="203"/>
    </row>
    <row r="1099" spans="1:6">
      <c r="A1099" s="204"/>
      <c r="B1099" s="203"/>
      <c r="C1099" s="203"/>
      <c r="D1099" s="203"/>
      <c r="E1099" s="203"/>
      <c r="F1099" s="203"/>
    </row>
    <row r="1100" spans="1:6">
      <c r="A1100" s="204"/>
      <c r="B1100" s="203"/>
      <c r="C1100" s="203"/>
      <c r="D1100" s="203"/>
      <c r="E1100" s="203"/>
      <c r="F1100" s="203"/>
    </row>
    <row r="1101" spans="1:6">
      <c r="A1101" s="204"/>
      <c r="B1101" s="203"/>
      <c r="C1101" s="203"/>
      <c r="D1101" s="203"/>
      <c r="E1101" s="203"/>
      <c r="F1101" s="203"/>
    </row>
    <row r="1102" spans="1:6">
      <c r="A1102" s="204"/>
      <c r="B1102" s="203"/>
      <c r="C1102" s="203"/>
      <c r="D1102" s="203"/>
      <c r="E1102" s="203"/>
      <c r="F1102" s="203"/>
    </row>
    <row r="1103" spans="1:6">
      <c r="A1103" s="204"/>
      <c r="B1103" s="203"/>
      <c r="C1103" s="203"/>
      <c r="D1103" s="203"/>
      <c r="E1103" s="203"/>
      <c r="F1103" s="203"/>
    </row>
    <row r="1104" spans="1:6">
      <c r="A1104" s="204"/>
      <c r="B1104" s="203"/>
      <c r="C1104" s="203"/>
      <c r="D1104" s="203"/>
      <c r="E1104" s="203"/>
      <c r="F1104" s="203"/>
    </row>
    <row r="1105" spans="1:6">
      <c r="A1105" s="204"/>
      <c r="B1105" s="203"/>
      <c r="C1105" s="203"/>
      <c r="D1105" s="203"/>
      <c r="E1105" s="203"/>
      <c r="F1105" s="203"/>
    </row>
    <row r="1106" spans="1:6">
      <c r="A1106" s="204"/>
      <c r="B1106" s="203"/>
      <c r="C1106" s="203"/>
      <c r="D1106" s="203"/>
      <c r="E1106" s="203"/>
      <c r="F1106" s="203"/>
    </row>
    <row r="1107" spans="1:6">
      <c r="A1107" s="204"/>
      <c r="B1107" s="203"/>
      <c r="C1107" s="203"/>
      <c r="D1107" s="203"/>
      <c r="E1107" s="203"/>
      <c r="F1107" s="203"/>
    </row>
    <row r="1108" spans="1:6">
      <c r="A1108" s="204"/>
      <c r="B1108" s="203"/>
      <c r="C1108" s="203"/>
      <c r="D1108" s="203"/>
      <c r="E1108" s="203"/>
      <c r="F1108" s="203"/>
    </row>
    <row r="1109" spans="1:6">
      <c r="A1109" s="204"/>
      <c r="B1109" s="203"/>
      <c r="C1109" s="203"/>
      <c r="D1109" s="203"/>
      <c r="E1109" s="203"/>
      <c r="F1109" s="203"/>
    </row>
    <row r="1110" spans="1:6">
      <c r="A1110" s="204"/>
      <c r="B1110" s="203"/>
      <c r="C1110" s="203"/>
      <c r="D1110" s="203"/>
      <c r="E1110" s="203"/>
      <c r="F1110" s="203"/>
    </row>
    <row r="1111" spans="1:6">
      <c r="A1111" s="204"/>
      <c r="B1111" s="203"/>
      <c r="C1111" s="203"/>
      <c r="D1111" s="203"/>
      <c r="E1111" s="203"/>
      <c r="F1111" s="203"/>
    </row>
    <row r="1112" spans="1:6">
      <c r="A1112" s="204"/>
      <c r="B1112" s="203"/>
      <c r="C1112" s="203"/>
      <c r="D1112" s="203"/>
      <c r="E1112" s="203"/>
      <c r="F1112" s="203"/>
    </row>
    <row r="1113" spans="1:6">
      <c r="A1113" s="204"/>
      <c r="B1113" s="203"/>
      <c r="C1113" s="203"/>
      <c r="D1113" s="203"/>
      <c r="E1113" s="203"/>
      <c r="F1113" s="203"/>
    </row>
    <row r="1114" spans="1:6">
      <c r="A1114" s="204"/>
      <c r="B1114" s="203"/>
      <c r="C1114" s="203"/>
      <c r="D1114" s="203"/>
      <c r="E1114" s="203"/>
      <c r="F1114" s="203"/>
    </row>
    <row r="1115" spans="1:6">
      <c r="A1115" s="204"/>
      <c r="B1115" s="203"/>
      <c r="C1115" s="203"/>
      <c r="D1115" s="203"/>
      <c r="E1115" s="203"/>
      <c r="F1115" s="203"/>
    </row>
    <row r="1116" spans="1:6">
      <c r="A1116" s="204"/>
      <c r="B1116" s="203"/>
      <c r="C1116" s="203"/>
      <c r="D1116" s="203"/>
      <c r="E1116" s="203"/>
      <c r="F1116" s="203"/>
    </row>
    <row r="1117" spans="1:6">
      <c r="A1117" s="204"/>
      <c r="B1117" s="203"/>
      <c r="C1117" s="203"/>
      <c r="D1117" s="203"/>
      <c r="E1117" s="203"/>
      <c r="F1117" s="203"/>
    </row>
    <row r="1118" spans="1:6">
      <c r="A1118" s="204"/>
      <c r="B1118" s="203"/>
      <c r="C1118" s="203"/>
      <c r="D1118" s="203"/>
      <c r="E1118" s="203"/>
      <c r="F1118" s="203"/>
    </row>
    <row r="1119" spans="1:6">
      <c r="A1119" s="204"/>
      <c r="B1119" s="203"/>
      <c r="C1119" s="203"/>
      <c r="D1119" s="203"/>
      <c r="E1119" s="203"/>
      <c r="F1119" s="203"/>
    </row>
    <row r="1120" spans="1:6">
      <c r="A1120" s="204"/>
      <c r="B1120" s="203"/>
      <c r="C1120" s="203"/>
      <c r="D1120" s="203"/>
      <c r="E1120" s="203"/>
      <c r="F1120" s="203"/>
    </row>
    <row r="1121" spans="1:6">
      <c r="A1121" s="204"/>
      <c r="B1121" s="203"/>
      <c r="C1121" s="203"/>
      <c r="D1121" s="203"/>
      <c r="E1121" s="203"/>
      <c r="F1121" s="203"/>
    </row>
    <row r="1122" spans="1:6">
      <c r="A1122" s="204"/>
      <c r="B1122" s="203"/>
      <c r="C1122" s="203"/>
      <c r="D1122" s="203"/>
      <c r="E1122" s="203"/>
      <c r="F1122" s="203"/>
    </row>
    <row r="1123" spans="1:6">
      <c r="A1123" s="204"/>
      <c r="B1123" s="203"/>
      <c r="C1123" s="203"/>
      <c r="D1123" s="203"/>
      <c r="E1123" s="203"/>
      <c r="F1123" s="203"/>
    </row>
    <row r="1124" spans="1:6">
      <c r="A1124" s="204"/>
      <c r="B1124" s="203"/>
      <c r="C1124" s="203"/>
      <c r="D1124" s="203"/>
      <c r="E1124" s="203"/>
      <c r="F1124" s="203"/>
    </row>
    <row r="1125" spans="1:6">
      <c r="A1125" s="204"/>
      <c r="B1125" s="203"/>
      <c r="C1125" s="203"/>
      <c r="D1125" s="203"/>
      <c r="E1125" s="203"/>
      <c r="F1125" s="203"/>
    </row>
    <row r="1126" spans="1:6">
      <c r="A1126" s="204"/>
      <c r="B1126" s="203"/>
      <c r="C1126" s="203"/>
      <c r="D1126" s="203"/>
      <c r="E1126" s="203"/>
      <c r="F1126" s="203"/>
    </row>
    <row r="1127" spans="1:6">
      <c r="A1127" s="204"/>
      <c r="B1127" s="203"/>
      <c r="C1127" s="203"/>
      <c r="D1127" s="203"/>
      <c r="E1127" s="203"/>
      <c r="F1127" s="203"/>
    </row>
    <row r="1128" spans="1:6">
      <c r="A1128" s="204"/>
      <c r="B1128" s="203"/>
      <c r="C1128" s="203"/>
      <c r="D1128" s="203"/>
      <c r="E1128" s="203"/>
      <c r="F1128" s="203"/>
    </row>
    <row r="1129" spans="1:6">
      <c r="A1129" s="204"/>
      <c r="B1129" s="203"/>
      <c r="C1129" s="203"/>
      <c r="D1129" s="203"/>
      <c r="E1129" s="203"/>
      <c r="F1129" s="203"/>
    </row>
    <row r="1130" spans="1:6">
      <c r="A1130" s="204"/>
      <c r="B1130" s="203"/>
      <c r="C1130" s="203"/>
      <c r="D1130" s="203"/>
      <c r="E1130" s="203"/>
      <c r="F1130" s="203"/>
    </row>
    <row r="1131" spans="1:6">
      <c r="A1131" s="204"/>
      <c r="B1131" s="203"/>
      <c r="C1131" s="203"/>
      <c r="D1131" s="203"/>
      <c r="E1131" s="203"/>
      <c r="F1131" s="203"/>
    </row>
    <row r="1132" spans="1:6">
      <c r="A1132" s="204"/>
      <c r="B1132" s="203"/>
      <c r="C1132" s="203"/>
      <c r="D1132" s="203"/>
      <c r="E1132" s="203"/>
      <c r="F1132" s="203"/>
    </row>
    <row r="1133" spans="1:6">
      <c r="A1133" s="204"/>
      <c r="B1133" s="203"/>
      <c r="C1133" s="203"/>
      <c r="D1133" s="203"/>
      <c r="E1133" s="203"/>
      <c r="F1133" s="203"/>
    </row>
    <row r="1134" spans="1:6">
      <c r="A1134" s="204"/>
      <c r="B1134" s="203"/>
      <c r="C1134" s="203"/>
      <c r="D1134" s="203"/>
      <c r="E1134" s="203"/>
      <c r="F1134" s="203"/>
    </row>
    <row r="1135" spans="1:6">
      <c r="A1135" s="204"/>
      <c r="B1135" s="203"/>
      <c r="C1135" s="203"/>
      <c r="D1135" s="203"/>
      <c r="E1135" s="203"/>
      <c r="F1135" s="203"/>
    </row>
    <row r="1136" spans="1:6">
      <c r="A1136" s="204"/>
      <c r="B1136" s="203"/>
      <c r="C1136" s="203"/>
      <c r="D1136" s="203"/>
      <c r="E1136" s="203"/>
      <c r="F1136" s="203"/>
    </row>
    <row r="1137" spans="1:6">
      <c r="A1137" s="204"/>
      <c r="B1137" s="203"/>
      <c r="C1137" s="203"/>
      <c r="D1137" s="203"/>
      <c r="E1137" s="203"/>
      <c r="F1137" s="203"/>
    </row>
    <row r="1138" spans="1:6">
      <c r="A1138" s="204"/>
      <c r="B1138" s="203"/>
      <c r="C1138" s="203"/>
      <c r="D1138" s="203"/>
      <c r="E1138" s="203"/>
      <c r="F1138" s="203"/>
    </row>
    <row r="1139" spans="1:6">
      <c r="A1139" s="204"/>
      <c r="B1139" s="203"/>
      <c r="C1139" s="203"/>
      <c r="D1139" s="203"/>
      <c r="E1139" s="203"/>
      <c r="F1139" s="203"/>
    </row>
    <row r="1140" spans="1:6">
      <c r="A1140" s="204"/>
      <c r="B1140" s="203"/>
      <c r="C1140" s="203"/>
      <c r="D1140" s="203"/>
      <c r="E1140" s="203"/>
      <c r="F1140" s="203"/>
    </row>
    <row r="1141" spans="1:6">
      <c r="A1141" s="204"/>
      <c r="B1141" s="203"/>
      <c r="C1141" s="203"/>
      <c r="D1141" s="203"/>
      <c r="E1141" s="203"/>
      <c r="F1141" s="203"/>
    </row>
    <row r="1142" spans="1:6">
      <c r="A1142" s="204"/>
      <c r="B1142" s="203"/>
      <c r="C1142" s="203"/>
      <c r="D1142" s="203"/>
      <c r="E1142" s="203"/>
      <c r="F1142" s="203"/>
    </row>
    <row r="1143" spans="1:6">
      <c r="A1143" s="204"/>
      <c r="B1143" s="203"/>
      <c r="C1143" s="203"/>
      <c r="D1143" s="203"/>
      <c r="E1143" s="203"/>
      <c r="F1143" s="203"/>
    </row>
    <row r="1144" spans="1:6">
      <c r="A1144" s="204"/>
      <c r="B1144" s="203"/>
      <c r="C1144" s="203"/>
      <c r="D1144" s="203"/>
      <c r="E1144" s="203"/>
      <c r="F1144" s="203"/>
    </row>
    <row r="1145" spans="1:6">
      <c r="A1145" s="204"/>
      <c r="B1145" s="203"/>
      <c r="C1145" s="203"/>
      <c r="D1145" s="203"/>
      <c r="E1145" s="203"/>
      <c r="F1145" s="203"/>
    </row>
    <row r="1146" spans="1:6">
      <c r="A1146" s="204"/>
      <c r="B1146" s="203"/>
      <c r="C1146" s="203"/>
      <c r="D1146" s="203"/>
      <c r="E1146" s="203"/>
      <c r="F1146" s="203"/>
    </row>
    <row r="1147" spans="1:6">
      <c r="A1147" s="204"/>
      <c r="B1147" s="203"/>
      <c r="C1147" s="203"/>
      <c r="D1147" s="203"/>
      <c r="E1147" s="203"/>
      <c r="F1147" s="203"/>
    </row>
    <row r="1148" spans="1:6">
      <c r="A1148" s="204"/>
      <c r="B1148" s="203"/>
      <c r="C1148" s="203"/>
      <c r="D1148" s="203"/>
      <c r="E1148" s="203"/>
      <c r="F1148" s="203"/>
    </row>
    <row r="1149" spans="1:6">
      <c r="A1149" s="204"/>
      <c r="B1149" s="203"/>
      <c r="C1149" s="203"/>
      <c r="D1149" s="203"/>
      <c r="E1149" s="203"/>
      <c r="F1149" s="203"/>
    </row>
    <row r="1150" spans="1:6">
      <c r="A1150" s="204"/>
      <c r="B1150" s="203"/>
      <c r="C1150" s="203"/>
      <c r="D1150" s="203"/>
      <c r="E1150" s="203"/>
      <c r="F1150" s="203"/>
    </row>
    <row r="1151" spans="1:6">
      <c r="A1151" s="204"/>
      <c r="B1151" s="203"/>
      <c r="C1151" s="203"/>
      <c r="D1151" s="203"/>
      <c r="E1151" s="203"/>
      <c r="F1151" s="203"/>
    </row>
    <row r="1152" spans="1:6">
      <c r="A1152" s="204"/>
      <c r="B1152" s="203"/>
      <c r="C1152" s="203"/>
      <c r="D1152" s="203"/>
      <c r="E1152" s="203"/>
      <c r="F1152" s="203"/>
    </row>
    <row r="1153" spans="1:6">
      <c r="A1153" s="204"/>
      <c r="B1153" s="203"/>
      <c r="C1153" s="203"/>
      <c r="D1153" s="203"/>
      <c r="E1153" s="203"/>
      <c r="F1153" s="203"/>
    </row>
    <row r="1154" spans="1:6">
      <c r="A1154" s="204"/>
      <c r="B1154" s="203"/>
      <c r="C1154" s="203"/>
      <c r="D1154" s="203"/>
      <c r="E1154" s="203"/>
      <c r="F1154" s="203"/>
    </row>
    <row r="1155" spans="1:6">
      <c r="A1155" s="204"/>
      <c r="B1155" s="203"/>
      <c r="C1155" s="203"/>
      <c r="D1155" s="203"/>
      <c r="E1155" s="203"/>
      <c r="F1155" s="203"/>
    </row>
    <row r="1156" spans="1:6">
      <c r="A1156" s="204"/>
      <c r="B1156" s="203"/>
      <c r="C1156" s="203"/>
      <c r="D1156" s="203"/>
      <c r="E1156" s="203"/>
      <c r="F1156" s="203"/>
    </row>
    <row r="1157" spans="1:6">
      <c r="A1157" s="204"/>
      <c r="B1157" s="203"/>
      <c r="C1157" s="203"/>
      <c r="D1157" s="203"/>
      <c r="E1157" s="203"/>
      <c r="F1157" s="203"/>
    </row>
    <row r="1158" spans="1:6">
      <c r="A1158" s="204"/>
      <c r="B1158" s="203"/>
      <c r="C1158" s="203"/>
      <c r="D1158" s="203"/>
      <c r="E1158" s="203"/>
      <c r="F1158" s="203"/>
    </row>
    <row r="1159" spans="1:6">
      <c r="A1159" s="204"/>
      <c r="B1159" s="203"/>
      <c r="C1159" s="203"/>
      <c r="D1159" s="203"/>
      <c r="E1159" s="203"/>
      <c r="F1159" s="203"/>
    </row>
    <row r="1160" spans="1:6">
      <c r="A1160" s="204"/>
      <c r="B1160" s="203"/>
      <c r="C1160" s="203"/>
      <c r="D1160" s="203"/>
      <c r="E1160" s="203"/>
      <c r="F1160" s="203"/>
    </row>
    <row r="1161" spans="1:6">
      <c r="A1161" s="204"/>
      <c r="B1161" s="203"/>
      <c r="C1161" s="203"/>
      <c r="D1161" s="203"/>
      <c r="E1161" s="203"/>
      <c r="F1161" s="203"/>
    </row>
    <row r="1162" spans="1:6">
      <c r="A1162" s="204"/>
      <c r="B1162" s="203"/>
      <c r="C1162" s="203"/>
      <c r="D1162" s="203"/>
      <c r="E1162" s="203"/>
      <c r="F1162" s="203"/>
    </row>
    <row r="1163" spans="1:6">
      <c r="A1163" s="204"/>
      <c r="B1163" s="203"/>
      <c r="C1163" s="203"/>
      <c r="D1163" s="203"/>
      <c r="E1163" s="203"/>
      <c r="F1163" s="203"/>
    </row>
    <row r="1164" spans="1:6">
      <c r="A1164" s="204"/>
      <c r="B1164" s="203"/>
      <c r="C1164" s="203"/>
      <c r="D1164" s="203"/>
      <c r="E1164" s="203"/>
      <c r="F1164" s="203"/>
    </row>
    <row r="1165" spans="1:6">
      <c r="A1165" s="204"/>
      <c r="B1165" s="203"/>
      <c r="C1165" s="203"/>
      <c r="D1165" s="203"/>
      <c r="E1165" s="203"/>
      <c r="F1165" s="203"/>
    </row>
    <row r="1166" spans="1:6">
      <c r="A1166" s="204"/>
      <c r="B1166" s="203"/>
      <c r="C1166" s="203"/>
      <c r="D1166" s="203"/>
      <c r="E1166" s="203"/>
      <c r="F1166" s="203"/>
    </row>
    <row r="1167" spans="1:6">
      <c r="A1167" s="204"/>
      <c r="B1167" s="203"/>
      <c r="C1167" s="203"/>
      <c r="D1167" s="203"/>
      <c r="E1167" s="203"/>
      <c r="F1167" s="203"/>
    </row>
    <row r="1168" spans="1:6">
      <c r="A1168" s="204"/>
      <c r="B1168" s="203"/>
      <c r="C1168" s="203"/>
      <c r="D1168" s="203"/>
      <c r="E1168" s="203"/>
      <c r="F1168" s="203"/>
    </row>
    <row r="1169" spans="1:6">
      <c r="A1169" s="204"/>
      <c r="B1169" s="203"/>
      <c r="C1169" s="203"/>
      <c r="D1169" s="203"/>
      <c r="E1169" s="203"/>
      <c r="F1169" s="203"/>
    </row>
    <row r="1170" spans="1:6">
      <c r="A1170" s="204"/>
      <c r="B1170" s="203"/>
      <c r="C1170" s="203"/>
      <c r="D1170" s="203"/>
      <c r="E1170" s="203"/>
      <c r="F1170" s="203"/>
    </row>
    <row r="1171" spans="1:6">
      <c r="A1171" s="204"/>
      <c r="B1171" s="203"/>
      <c r="C1171" s="203"/>
      <c r="D1171" s="203"/>
      <c r="E1171" s="203"/>
      <c r="F1171" s="203"/>
    </row>
    <row r="1172" spans="1:6">
      <c r="A1172" s="204"/>
      <c r="B1172" s="203"/>
      <c r="C1172" s="203"/>
      <c r="D1172" s="203"/>
      <c r="E1172" s="203"/>
      <c r="F1172" s="203"/>
    </row>
    <row r="1173" spans="1:6">
      <c r="A1173" s="204"/>
      <c r="B1173" s="203"/>
      <c r="C1173" s="203"/>
      <c r="D1173" s="203"/>
      <c r="E1173" s="203"/>
      <c r="F1173" s="203"/>
    </row>
    <row r="1174" spans="1:6">
      <c r="A1174" s="204"/>
      <c r="B1174" s="203"/>
      <c r="C1174" s="203"/>
      <c r="D1174" s="203"/>
      <c r="E1174" s="203"/>
      <c r="F1174" s="203"/>
    </row>
    <row r="1175" spans="1:6">
      <c r="A1175" s="204"/>
      <c r="B1175" s="203"/>
      <c r="C1175" s="203"/>
      <c r="D1175" s="203"/>
      <c r="E1175" s="203"/>
      <c r="F1175" s="203"/>
    </row>
    <row r="1176" spans="1:6">
      <c r="A1176" s="204"/>
      <c r="B1176" s="203"/>
      <c r="C1176" s="203"/>
      <c r="D1176" s="203"/>
      <c r="E1176" s="203"/>
      <c r="F1176" s="203"/>
    </row>
    <row r="1177" spans="1:6">
      <c r="A1177" s="204"/>
      <c r="B1177" s="203"/>
      <c r="C1177" s="203"/>
      <c r="D1177" s="203"/>
      <c r="E1177" s="203"/>
      <c r="F1177" s="203"/>
    </row>
    <row r="1178" spans="1:6">
      <c r="A1178" s="204"/>
      <c r="B1178" s="203"/>
      <c r="C1178" s="203"/>
      <c r="D1178" s="203"/>
      <c r="E1178" s="203"/>
      <c r="F1178" s="203"/>
    </row>
    <row r="1179" spans="1:6">
      <c r="A1179" s="204"/>
      <c r="B1179" s="203"/>
      <c r="C1179" s="203"/>
      <c r="D1179" s="203"/>
      <c r="E1179" s="203"/>
      <c r="F1179" s="203"/>
    </row>
    <row r="1180" spans="1:6">
      <c r="A1180" s="204"/>
      <c r="B1180" s="203"/>
      <c r="C1180" s="203"/>
      <c r="D1180" s="203"/>
      <c r="E1180" s="203"/>
      <c r="F1180" s="203"/>
    </row>
    <row r="1181" spans="1:6">
      <c r="A1181" s="204"/>
      <c r="B1181" s="203"/>
      <c r="C1181" s="203"/>
      <c r="D1181" s="203"/>
      <c r="E1181" s="203"/>
      <c r="F1181" s="203"/>
    </row>
    <row r="1182" spans="1:6">
      <c r="A1182" s="204"/>
      <c r="B1182" s="203"/>
      <c r="C1182" s="203"/>
      <c r="D1182" s="203"/>
      <c r="E1182" s="203"/>
      <c r="F1182" s="203"/>
    </row>
    <row r="1183" spans="1:6">
      <c r="A1183" s="204"/>
      <c r="B1183" s="203"/>
      <c r="C1183" s="203"/>
      <c r="D1183" s="203"/>
      <c r="E1183" s="203"/>
      <c r="F1183" s="203"/>
    </row>
    <row r="1184" spans="1:6">
      <c r="A1184" s="204"/>
      <c r="B1184" s="203"/>
      <c r="C1184" s="203"/>
      <c r="D1184" s="203"/>
      <c r="E1184" s="203"/>
      <c r="F1184" s="203"/>
    </row>
    <row r="1185" spans="1:6">
      <c r="A1185" s="204"/>
      <c r="B1185" s="203"/>
      <c r="C1185" s="203"/>
      <c r="D1185" s="203"/>
      <c r="E1185" s="203"/>
      <c r="F1185" s="203"/>
    </row>
    <row r="1186" spans="1:6">
      <c r="A1186" s="204"/>
      <c r="B1186" s="203"/>
      <c r="C1186" s="203"/>
      <c r="D1186" s="203"/>
      <c r="E1186" s="203"/>
      <c r="F1186" s="203"/>
    </row>
    <row r="1187" spans="1:6">
      <c r="A1187" s="204"/>
      <c r="B1187" s="203"/>
      <c r="C1187" s="203"/>
      <c r="D1187" s="203"/>
      <c r="E1187" s="203"/>
      <c r="F1187" s="203"/>
    </row>
    <row r="1188" spans="1:6">
      <c r="A1188" s="204"/>
      <c r="B1188" s="203"/>
      <c r="C1188" s="203"/>
      <c r="D1188" s="203"/>
      <c r="E1188" s="203"/>
      <c r="F1188" s="203"/>
    </row>
    <row r="1189" spans="1:6">
      <c r="A1189" s="204"/>
      <c r="B1189" s="203"/>
      <c r="C1189" s="203"/>
      <c r="D1189" s="203"/>
      <c r="E1189" s="203"/>
      <c r="F1189" s="203"/>
    </row>
    <row r="1190" spans="1:6">
      <c r="A1190" s="204"/>
      <c r="B1190" s="203"/>
      <c r="C1190" s="203"/>
      <c r="D1190" s="203"/>
      <c r="E1190" s="203"/>
      <c r="F1190" s="203"/>
    </row>
    <row r="1191" spans="1:6">
      <c r="A1191" s="204"/>
      <c r="B1191" s="203"/>
      <c r="C1191" s="203"/>
      <c r="D1191" s="203"/>
      <c r="E1191" s="203"/>
      <c r="F1191" s="203"/>
    </row>
    <row r="1192" spans="1:6">
      <c r="A1192" s="204"/>
      <c r="B1192" s="203"/>
      <c r="C1192" s="203"/>
      <c r="D1192" s="203"/>
      <c r="E1192" s="203"/>
      <c r="F1192" s="203"/>
    </row>
    <row r="1193" spans="1:6">
      <c r="A1193" s="204"/>
      <c r="B1193" s="203"/>
      <c r="C1193" s="203"/>
      <c r="D1193" s="203"/>
      <c r="E1193" s="203"/>
      <c r="F1193" s="203"/>
    </row>
    <row r="1194" spans="1:6">
      <c r="A1194" s="204"/>
      <c r="B1194" s="203"/>
      <c r="C1194" s="203"/>
      <c r="D1194" s="203"/>
      <c r="E1194" s="203"/>
      <c r="F1194" s="203"/>
    </row>
    <row r="1195" spans="1:6">
      <c r="A1195" s="204"/>
      <c r="B1195" s="203"/>
      <c r="C1195" s="203"/>
      <c r="D1195" s="203"/>
      <c r="E1195" s="203"/>
      <c r="F1195" s="203"/>
    </row>
    <row r="1196" spans="1:6">
      <c r="A1196" s="204"/>
      <c r="B1196" s="203"/>
      <c r="C1196" s="203"/>
      <c r="D1196" s="203"/>
      <c r="E1196" s="203"/>
      <c r="F1196" s="203"/>
    </row>
    <row r="1197" spans="1:6">
      <c r="A1197" s="204"/>
      <c r="B1197" s="203"/>
      <c r="C1197" s="203"/>
      <c r="D1197" s="203"/>
      <c r="E1197" s="203"/>
      <c r="F1197" s="203"/>
    </row>
    <row r="1198" spans="1:6">
      <c r="A1198" s="204"/>
      <c r="B1198" s="203"/>
      <c r="C1198" s="203"/>
      <c r="D1198" s="203"/>
      <c r="E1198" s="203"/>
      <c r="F1198" s="203"/>
    </row>
    <row r="1199" spans="1:6">
      <c r="A1199" s="204"/>
      <c r="B1199" s="203"/>
      <c r="C1199" s="203"/>
      <c r="D1199" s="203"/>
      <c r="E1199" s="203"/>
      <c r="F1199" s="203"/>
    </row>
    <row r="1200" spans="1:6">
      <c r="A1200" s="204"/>
      <c r="B1200" s="203"/>
      <c r="C1200" s="203"/>
      <c r="D1200" s="203"/>
      <c r="E1200" s="203"/>
      <c r="F1200" s="203"/>
    </row>
    <row r="1201" spans="1:6">
      <c r="A1201" s="204"/>
      <c r="B1201" s="203"/>
      <c r="C1201" s="203"/>
      <c r="D1201" s="203"/>
      <c r="E1201" s="203"/>
      <c r="F1201" s="203"/>
    </row>
    <row r="1202" spans="1:6">
      <c r="A1202" s="204"/>
      <c r="B1202" s="203"/>
      <c r="C1202" s="203"/>
      <c r="D1202" s="203"/>
      <c r="E1202" s="203"/>
      <c r="F1202" s="203"/>
    </row>
    <row r="1203" spans="1:6">
      <c r="A1203" s="204"/>
      <c r="B1203" s="203"/>
      <c r="C1203" s="203"/>
      <c r="D1203" s="203"/>
      <c r="E1203" s="203"/>
      <c r="F1203" s="203"/>
    </row>
    <row r="1204" spans="1:6">
      <c r="A1204" s="204"/>
      <c r="B1204" s="203"/>
      <c r="C1204" s="203"/>
      <c r="D1204" s="203"/>
      <c r="E1204" s="203"/>
      <c r="F1204" s="203"/>
    </row>
    <row r="1205" spans="1:6">
      <c r="A1205" s="204"/>
      <c r="B1205" s="203"/>
      <c r="C1205" s="203"/>
      <c r="D1205" s="203"/>
      <c r="E1205" s="203"/>
      <c r="F1205" s="203"/>
    </row>
    <row r="1206" spans="1:6">
      <c r="A1206" s="204"/>
      <c r="B1206" s="203"/>
      <c r="C1206" s="203"/>
      <c r="D1206" s="203"/>
      <c r="E1206" s="203"/>
      <c r="F1206" s="203"/>
    </row>
    <row r="1207" spans="1:6">
      <c r="A1207" s="204"/>
      <c r="B1207" s="203"/>
      <c r="C1207" s="203"/>
      <c r="D1207" s="203"/>
      <c r="E1207" s="203"/>
      <c r="F1207" s="203"/>
    </row>
    <row r="1208" spans="1:6">
      <c r="A1208" s="204"/>
      <c r="B1208" s="203"/>
      <c r="C1208" s="203"/>
      <c r="D1208" s="203"/>
      <c r="E1208" s="203"/>
      <c r="F1208" s="203"/>
    </row>
    <row r="1209" spans="1:6">
      <c r="A1209" s="204"/>
      <c r="B1209" s="203"/>
      <c r="C1209" s="203"/>
      <c r="D1209" s="203"/>
      <c r="E1209" s="203"/>
      <c r="F1209" s="203"/>
    </row>
    <row r="1210" spans="1:6">
      <c r="A1210" s="204"/>
      <c r="B1210" s="203"/>
      <c r="C1210" s="203"/>
      <c r="D1210" s="203"/>
      <c r="E1210" s="203"/>
      <c r="F1210" s="203"/>
    </row>
    <row r="1211" spans="1:6">
      <c r="A1211" s="204"/>
      <c r="B1211" s="203"/>
      <c r="C1211" s="203"/>
      <c r="D1211" s="203"/>
      <c r="E1211" s="203"/>
      <c r="F1211" s="203"/>
    </row>
    <row r="1212" spans="1:6">
      <c r="A1212" s="204"/>
      <c r="B1212" s="203"/>
      <c r="C1212" s="203"/>
      <c r="D1212" s="203"/>
      <c r="E1212" s="203"/>
      <c r="F1212" s="203"/>
    </row>
    <row r="1213" spans="1:6">
      <c r="A1213" s="204"/>
      <c r="B1213" s="203"/>
      <c r="C1213" s="203"/>
      <c r="D1213" s="203"/>
      <c r="E1213" s="203"/>
      <c r="F1213" s="203"/>
    </row>
    <row r="1214" spans="1:6">
      <c r="A1214" s="204"/>
      <c r="B1214" s="203"/>
      <c r="C1214" s="203"/>
      <c r="D1214" s="203"/>
      <c r="E1214" s="203"/>
      <c r="F1214" s="203"/>
    </row>
    <row r="1215" spans="1:6">
      <c r="A1215" s="204"/>
      <c r="B1215" s="203"/>
      <c r="C1215" s="203"/>
      <c r="D1215" s="203"/>
      <c r="E1215" s="203"/>
      <c r="F1215" s="203"/>
    </row>
    <row r="1216" spans="1:6">
      <c r="A1216" s="204"/>
      <c r="B1216" s="203"/>
      <c r="C1216" s="203"/>
      <c r="D1216" s="203"/>
      <c r="E1216" s="203"/>
      <c r="F1216" s="203"/>
    </row>
    <row r="1217" spans="1:6">
      <c r="A1217" s="204"/>
      <c r="B1217" s="203"/>
      <c r="C1217" s="203"/>
      <c r="D1217" s="203"/>
      <c r="E1217" s="203"/>
      <c r="F1217" s="203"/>
    </row>
    <row r="1218" spans="1:6">
      <c r="A1218" s="204"/>
      <c r="B1218" s="203"/>
      <c r="C1218" s="203"/>
      <c r="D1218" s="203"/>
      <c r="E1218" s="203"/>
      <c r="F1218" s="203"/>
    </row>
    <row r="1219" spans="1:6">
      <c r="A1219" s="204"/>
      <c r="B1219" s="203"/>
      <c r="C1219" s="203"/>
      <c r="D1219" s="203"/>
      <c r="E1219" s="203"/>
      <c r="F1219" s="203"/>
    </row>
    <row r="1220" spans="1:6">
      <c r="A1220" s="204"/>
      <c r="B1220" s="203"/>
      <c r="C1220" s="203"/>
      <c r="D1220" s="203"/>
      <c r="E1220" s="203"/>
      <c r="F1220" s="203"/>
    </row>
    <row r="1221" spans="1:6">
      <c r="A1221" s="204"/>
      <c r="B1221" s="203"/>
      <c r="C1221" s="203"/>
      <c r="D1221" s="203"/>
      <c r="E1221" s="203"/>
      <c r="F1221" s="203"/>
    </row>
    <row r="1222" spans="1:6">
      <c r="A1222" s="204"/>
      <c r="B1222" s="203"/>
      <c r="C1222" s="203"/>
      <c r="D1222" s="203"/>
      <c r="E1222" s="203"/>
      <c r="F1222" s="203"/>
    </row>
    <row r="1223" spans="1:6">
      <c r="A1223" s="204"/>
      <c r="B1223" s="203"/>
      <c r="C1223" s="203"/>
      <c r="D1223" s="203"/>
      <c r="E1223" s="203"/>
      <c r="F1223" s="203"/>
    </row>
    <row r="1224" spans="1:6">
      <c r="A1224" s="204"/>
      <c r="B1224" s="203"/>
      <c r="C1224" s="203"/>
      <c r="D1224" s="203"/>
      <c r="E1224" s="203"/>
      <c r="F1224" s="203"/>
    </row>
    <row r="1225" spans="1:6">
      <c r="A1225" s="204"/>
      <c r="B1225" s="203"/>
      <c r="C1225" s="203"/>
      <c r="D1225" s="203"/>
      <c r="E1225" s="203"/>
      <c r="F1225" s="203"/>
    </row>
    <row r="1226" spans="1:6">
      <c r="A1226" s="204"/>
      <c r="B1226" s="203"/>
      <c r="C1226" s="203"/>
      <c r="D1226" s="203"/>
      <c r="E1226" s="203"/>
      <c r="F1226" s="203"/>
    </row>
    <row r="1227" spans="1:6">
      <c r="A1227" s="204"/>
      <c r="B1227" s="203"/>
      <c r="C1227" s="203"/>
      <c r="D1227" s="203"/>
      <c r="E1227" s="203"/>
      <c r="F1227" s="203"/>
    </row>
    <row r="1228" spans="1:6">
      <c r="A1228" s="204"/>
      <c r="B1228" s="203"/>
      <c r="C1228" s="203"/>
      <c r="D1228" s="203"/>
      <c r="E1228" s="203"/>
      <c r="F1228" s="203"/>
    </row>
    <row r="1229" spans="1:6">
      <c r="A1229" s="204"/>
      <c r="B1229" s="203"/>
      <c r="C1229" s="203"/>
      <c r="D1229" s="203"/>
      <c r="E1229" s="203"/>
      <c r="F1229" s="203"/>
    </row>
    <row r="1230" spans="1:6">
      <c r="A1230" s="204"/>
      <c r="B1230" s="203"/>
      <c r="C1230" s="203"/>
      <c r="D1230" s="203"/>
      <c r="E1230" s="203"/>
      <c r="F1230" s="203"/>
    </row>
    <row r="1231" spans="1:6">
      <c r="A1231" s="204"/>
      <c r="B1231" s="203"/>
      <c r="C1231" s="203"/>
      <c r="D1231" s="203"/>
      <c r="E1231" s="203"/>
      <c r="F1231" s="203"/>
    </row>
    <row r="1232" spans="1:6">
      <c r="A1232" s="204"/>
      <c r="B1232" s="203"/>
      <c r="C1232" s="203"/>
      <c r="D1232" s="203"/>
      <c r="E1232" s="203"/>
      <c r="F1232" s="203"/>
    </row>
    <row r="1233" spans="1:6">
      <c r="A1233" s="204"/>
      <c r="B1233" s="203"/>
      <c r="C1233" s="203"/>
      <c r="D1233" s="203"/>
      <c r="E1233" s="203"/>
      <c r="F1233" s="203"/>
    </row>
    <row r="1234" spans="1:6">
      <c r="A1234" s="204"/>
      <c r="B1234" s="203"/>
      <c r="C1234" s="203"/>
      <c r="D1234" s="203"/>
      <c r="E1234" s="203"/>
      <c r="F1234" s="203"/>
    </row>
    <row r="1235" spans="1:6">
      <c r="A1235" s="204"/>
      <c r="B1235" s="203"/>
      <c r="C1235" s="203"/>
      <c r="D1235" s="203"/>
      <c r="E1235" s="203"/>
      <c r="F1235" s="203"/>
    </row>
    <row r="1236" spans="1:6">
      <c r="A1236" s="204"/>
      <c r="B1236" s="203"/>
      <c r="C1236" s="203"/>
      <c r="D1236" s="203"/>
      <c r="E1236" s="203"/>
      <c r="F1236" s="203"/>
    </row>
    <row r="1237" spans="1:6">
      <c r="A1237" s="204"/>
      <c r="B1237" s="203"/>
      <c r="C1237" s="203"/>
      <c r="D1237" s="203"/>
      <c r="E1237" s="203"/>
      <c r="F1237" s="203"/>
    </row>
    <row r="1238" spans="1:6">
      <c r="A1238" s="204"/>
      <c r="B1238" s="203"/>
      <c r="C1238" s="203"/>
      <c r="D1238" s="203"/>
      <c r="E1238" s="203"/>
      <c r="F1238" s="203"/>
    </row>
    <row r="1239" spans="1:6">
      <c r="A1239" s="204"/>
      <c r="B1239" s="203"/>
      <c r="C1239" s="203"/>
      <c r="D1239" s="203"/>
      <c r="E1239" s="203"/>
      <c r="F1239" s="203"/>
    </row>
    <row r="1240" spans="1:6">
      <c r="A1240" s="204"/>
      <c r="B1240" s="203"/>
      <c r="C1240" s="203"/>
      <c r="D1240" s="203"/>
      <c r="E1240" s="203"/>
      <c r="F1240" s="203"/>
    </row>
    <row r="1241" spans="1:6">
      <c r="A1241" s="204"/>
      <c r="B1241" s="203"/>
      <c r="C1241" s="203"/>
      <c r="D1241" s="203"/>
      <c r="E1241" s="203"/>
      <c r="F1241" s="203"/>
    </row>
    <row r="1242" spans="1:6">
      <c r="A1242" s="204"/>
      <c r="B1242" s="203"/>
      <c r="C1242" s="203"/>
      <c r="D1242" s="203"/>
      <c r="E1242" s="203"/>
      <c r="F1242" s="203"/>
    </row>
    <row r="1243" spans="1:6">
      <c r="A1243" s="204"/>
      <c r="B1243" s="203"/>
      <c r="C1243" s="203"/>
      <c r="D1243" s="203"/>
      <c r="E1243" s="203"/>
      <c r="F1243" s="203"/>
    </row>
    <row r="1244" spans="1:6">
      <c r="A1244" s="204"/>
      <c r="B1244" s="203"/>
      <c r="C1244" s="203"/>
      <c r="D1244" s="203"/>
      <c r="E1244" s="203"/>
      <c r="F1244" s="203"/>
    </row>
    <row r="1245" spans="1:6">
      <c r="A1245" s="204"/>
      <c r="B1245" s="203"/>
      <c r="C1245" s="203"/>
      <c r="D1245" s="203"/>
      <c r="E1245" s="203"/>
      <c r="F1245" s="203"/>
    </row>
    <row r="1246" spans="1:6">
      <c r="A1246" s="204"/>
      <c r="B1246" s="203"/>
      <c r="C1246" s="203"/>
      <c r="D1246" s="203"/>
      <c r="E1246" s="203"/>
      <c r="F1246" s="203"/>
    </row>
    <row r="1247" spans="1:6">
      <c r="A1247" s="204"/>
      <c r="B1247" s="203"/>
      <c r="C1247" s="203"/>
      <c r="D1247" s="203"/>
      <c r="E1247" s="203"/>
      <c r="F1247" s="203"/>
    </row>
    <row r="1248" spans="1:6">
      <c r="A1248" s="204"/>
      <c r="B1248" s="203"/>
      <c r="C1248" s="203"/>
      <c r="D1248" s="203"/>
      <c r="E1248" s="203"/>
      <c r="F1248" s="203"/>
    </row>
    <row r="1249" spans="1:6">
      <c r="A1249" s="204"/>
      <c r="B1249" s="203"/>
      <c r="C1249" s="203"/>
      <c r="D1249" s="203"/>
      <c r="E1249" s="203"/>
      <c r="F1249" s="203"/>
    </row>
    <row r="1250" spans="1:6">
      <c r="A1250" s="204"/>
      <c r="B1250" s="203"/>
      <c r="C1250" s="203"/>
      <c r="D1250" s="203"/>
      <c r="E1250" s="203"/>
      <c r="F1250" s="203"/>
    </row>
    <row r="1251" spans="1:6">
      <c r="A1251" s="204"/>
      <c r="B1251" s="203"/>
      <c r="C1251" s="203"/>
      <c r="D1251" s="203"/>
      <c r="E1251" s="203"/>
      <c r="F1251" s="203"/>
    </row>
    <row r="1252" spans="1:6">
      <c r="A1252" s="204"/>
      <c r="B1252" s="203"/>
      <c r="C1252" s="203"/>
      <c r="D1252" s="203"/>
      <c r="E1252" s="203"/>
      <c r="F1252" s="203"/>
    </row>
    <row r="1253" spans="1:6">
      <c r="A1253" s="204"/>
      <c r="B1253" s="203"/>
      <c r="C1253" s="203"/>
      <c r="D1253" s="203"/>
      <c r="E1253" s="203"/>
      <c r="F1253" s="203"/>
    </row>
    <row r="1254" spans="1:6">
      <c r="A1254" s="204"/>
      <c r="B1254" s="203"/>
      <c r="C1254" s="203"/>
      <c r="D1254" s="203"/>
      <c r="E1254" s="203"/>
      <c r="F1254" s="203"/>
    </row>
    <row r="1255" spans="1:6">
      <c r="A1255" s="204"/>
      <c r="B1255" s="203"/>
      <c r="C1255" s="203"/>
      <c r="D1255" s="203"/>
      <c r="E1255" s="203"/>
      <c r="F1255" s="203"/>
    </row>
    <row r="1256" spans="1:6">
      <c r="A1256" s="204"/>
      <c r="B1256" s="203"/>
      <c r="C1256" s="203"/>
      <c r="D1256" s="203"/>
      <c r="E1256" s="203"/>
      <c r="F1256" s="203"/>
    </row>
    <row r="1257" spans="1:6">
      <c r="A1257" s="204"/>
      <c r="B1257" s="203"/>
      <c r="C1257" s="203"/>
      <c r="D1257" s="203"/>
      <c r="E1257" s="203"/>
      <c r="F1257" s="203"/>
    </row>
    <row r="1258" spans="1:6">
      <c r="A1258" s="204"/>
      <c r="B1258" s="203"/>
      <c r="C1258" s="203"/>
      <c r="D1258" s="203"/>
      <c r="E1258" s="203"/>
      <c r="F1258" s="203"/>
    </row>
    <row r="1259" spans="1:6">
      <c r="A1259" s="204"/>
      <c r="B1259" s="203"/>
      <c r="C1259" s="203"/>
      <c r="D1259" s="203"/>
      <c r="E1259" s="203"/>
      <c r="F1259" s="203"/>
    </row>
    <row r="1260" spans="1:6">
      <c r="A1260" s="204"/>
      <c r="B1260" s="203"/>
      <c r="C1260" s="203"/>
      <c r="D1260" s="203"/>
      <c r="E1260" s="203"/>
      <c r="F1260" s="203"/>
    </row>
    <row r="1261" spans="1:6">
      <c r="A1261" s="204"/>
      <c r="B1261" s="203"/>
      <c r="C1261" s="203"/>
      <c r="D1261" s="203"/>
      <c r="E1261" s="203"/>
      <c r="F1261" s="203"/>
    </row>
    <row r="1262" spans="1:6">
      <c r="A1262" s="204"/>
      <c r="B1262" s="203"/>
      <c r="C1262" s="203"/>
      <c r="D1262" s="203"/>
      <c r="E1262" s="203"/>
      <c r="F1262" s="203"/>
    </row>
    <row r="1263" spans="1:6">
      <c r="A1263" s="204"/>
      <c r="B1263" s="203"/>
      <c r="C1263" s="203"/>
      <c r="D1263" s="203"/>
      <c r="E1263" s="203"/>
      <c r="F1263" s="203"/>
    </row>
    <row r="1264" spans="1:6">
      <c r="A1264" s="204"/>
      <c r="B1264" s="203"/>
      <c r="C1264" s="203"/>
      <c r="D1264" s="203"/>
      <c r="E1264" s="203"/>
      <c r="F1264" s="203"/>
    </row>
    <row r="1265" spans="1:6">
      <c r="A1265" s="204"/>
      <c r="B1265" s="203"/>
      <c r="C1265" s="203"/>
      <c r="D1265" s="203"/>
      <c r="E1265" s="203"/>
      <c r="F1265" s="203"/>
    </row>
    <row r="1266" spans="1:6">
      <c r="A1266" s="204"/>
      <c r="B1266" s="203"/>
      <c r="C1266" s="203"/>
      <c r="D1266" s="203"/>
      <c r="E1266" s="203"/>
      <c r="F1266" s="203"/>
    </row>
    <row r="1267" spans="1:6">
      <c r="A1267" s="204"/>
      <c r="B1267" s="203"/>
      <c r="C1267" s="203"/>
      <c r="D1267" s="203"/>
      <c r="E1267" s="203"/>
      <c r="F1267" s="203"/>
    </row>
    <row r="1268" spans="1:6">
      <c r="A1268" s="204"/>
      <c r="B1268" s="203"/>
      <c r="C1268" s="203"/>
      <c r="D1268" s="203"/>
      <c r="E1268" s="203"/>
      <c r="F1268" s="203"/>
    </row>
    <row r="1269" spans="1:6">
      <c r="A1269" s="204"/>
      <c r="B1269" s="203"/>
      <c r="C1269" s="203"/>
      <c r="D1269" s="203"/>
      <c r="E1269" s="203"/>
      <c r="F1269" s="203"/>
    </row>
    <row r="1270" spans="1:6">
      <c r="A1270" s="204"/>
      <c r="B1270" s="203"/>
      <c r="C1270" s="203"/>
      <c r="D1270" s="203"/>
      <c r="E1270" s="203"/>
      <c r="F1270" s="203"/>
    </row>
    <row r="1271" spans="1:6">
      <c r="A1271" s="204"/>
      <c r="B1271" s="203"/>
      <c r="C1271" s="203"/>
      <c r="D1271" s="203"/>
      <c r="E1271" s="203"/>
      <c r="F1271" s="203"/>
    </row>
    <row r="1272" spans="1:6">
      <c r="A1272" s="204"/>
      <c r="B1272" s="203"/>
      <c r="C1272" s="203"/>
      <c r="D1272" s="203"/>
      <c r="E1272" s="203"/>
      <c r="F1272" s="203"/>
    </row>
    <row r="1273" spans="1:6">
      <c r="A1273" s="204"/>
      <c r="B1273" s="203"/>
      <c r="C1273" s="203"/>
      <c r="D1273" s="203"/>
      <c r="E1273" s="203"/>
      <c r="F1273" s="203"/>
    </row>
    <row r="1274" spans="1:6">
      <c r="A1274" s="204"/>
      <c r="B1274" s="203"/>
      <c r="C1274" s="203"/>
      <c r="D1274" s="203"/>
      <c r="E1274" s="203"/>
      <c r="F1274" s="203"/>
    </row>
    <row r="1275" spans="1:6">
      <c r="A1275" s="204"/>
      <c r="B1275" s="203"/>
      <c r="C1275" s="203"/>
      <c r="D1275" s="203"/>
      <c r="E1275" s="203"/>
      <c r="F1275" s="203"/>
    </row>
    <row r="1276" spans="1:6">
      <c r="A1276" s="204"/>
      <c r="B1276" s="203"/>
      <c r="C1276" s="203"/>
      <c r="D1276" s="203"/>
      <c r="E1276" s="203"/>
      <c r="F1276" s="203"/>
    </row>
    <row r="1277" spans="1:6">
      <c r="A1277" s="204"/>
      <c r="B1277" s="203"/>
      <c r="C1277" s="203"/>
      <c r="D1277" s="203"/>
      <c r="E1277" s="203"/>
      <c r="F1277" s="203"/>
    </row>
    <row r="1278" spans="1:6">
      <c r="A1278" s="204"/>
      <c r="B1278" s="203"/>
      <c r="C1278" s="203"/>
      <c r="D1278" s="203"/>
      <c r="E1278" s="203"/>
      <c r="F1278" s="203"/>
    </row>
    <row r="1279" spans="1:6">
      <c r="A1279" s="204"/>
      <c r="B1279" s="203"/>
      <c r="C1279" s="203"/>
      <c r="D1279" s="203"/>
      <c r="E1279" s="203"/>
      <c r="F1279" s="203"/>
    </row>
    <row r="1280" spans="1:6">
      <c r="A1280" s="204"/>
      <c r="B1280" s="203"/>
      <c r="C1280" s="203"/>
      <c r="D1280" s="203"/>
      <c r="E1280" s="203"/>
      <c r="F1280" s="203"/>
    </row>
    <row r="1281" spans="1:6">
      <c r="A1281" s="204"/>
      <c r="B1281" s="203"/>
      <c r="C1281" s="203"/>
      <c r="D1281" s="203"/>
      <c r="E1281" s="203"/>
      <c r="F1281" s="203"/>
    </row>
    <row r="1282" spans="1:6">
      <c r="A1282" s="204"/>
      <c r="B1282" s="203"/>
      <c r="C1282" s="203"/>
      <c r="D1282" s="203"/>
      <c r="E1282" s="203"/>
      <c r="F1282" s="203"/>
    </row>
    <row r="1283" spans="1:6">
      <c r="A1283" s="204"/>
      <c r="B1283" s="203"/>
      <c r="C1283" s="203"/>
      <c r="D1283" s="203"/>
      <c r="E1283" s="203"/>
      <c r="F1283" s="203"/>
    </row>
    <row r="1284" spans="1:6">
      <c r="A1284" s="204"/>
      <c r="B1284" s="203"/>
      <c r="C1284" s="203"/>
      <c r="D1284" s="203"/>
      <c r="E1284" s="203"/>
      <c r="F1284" s="203"/>
    </row>
    <row r="1285" spans="1:6">
      <c r="A1285" s="204"/>
      <c r="B1285" s="203"/>
      <c r="C1285" s="203"/>
      <c r="D1285" s="203"/>
      <c r="E1285" s="203"/>
      <c r="F1285" s="203"/>
    </row>
    <row r="1286" spans="1:6">
      <c r="A1286" s="204"/>
      <c r="B1286" s="203"/>
      <c r="C1286" s="203"/>
      <c r="D1286" s="203"/>
      <c r="E1286" s="203"/>
      <c r="F1286" s="203"/>
    </row>
    <row r="1287" spans="1:6">
      <c r="A1287" s="204"/>
      <c r="B1287" s="203"/>
      <c r="C1287" s="203"/>
      <c r="D1287" s="203"/>
      <c r="E1287" s="203"/>
      <c r="F1287" s="203"/>
    </row>
    <row r="1288" spans="1:6">
      <c r="A1288" s="204"/>
      <c r="B1288" s="203"/>
      <c r="C1288" s="203"/>
      <c r="D1288" s="203"/>
      <c r="E1288" s="203"/>
      <c r="F1288" s="203"/>
    </row>
    <row r="1289" spans="1:6">
      <c r="A1289" s="204"/>
      <c r="B1289" s="203"/>
      <c r="C1289" s="203"/>
      <c r="D1289" s="203"/>
      <c r="E1289" s="203"/>
      <c r="F1289" s="203"/>
    </row>
    <row r="1290" spans="1:6">
      <c r="A1290" s="204"/>
      <c r="B1290" s="203"/>
      <c r="C1290" s="203"/>
      <c r="D1290" s="203"/>
      <c r="E1290" s="203"/>
      <c r="F1290" s="203"/>
    </row>
    <row r="1291" spans="1:6">
      <c r="A1291" s="204"/>
      <c r="B1291" s="203"/>
      <c r="C1291" s="203"/>
      <c r="D1291" s="203"/>
      <c r="E1291" s="203"/>
      <c r="F1291" s="203"/>
    </row>
    <row r="1292" spans="1:6">
      <c r="A1292" s="204"/>
      <c r="B1292" s="203"/>
      <c r="C1292" s="203"/>
      <c r="D1292" s="203"/>
      <c r="E1292" s="203"/>
      <c r="F1292" s="203"/>
    </row>
    <row r="1293" spans="1:6">
      <c r="A1293" s="204"/>
      <c r="B1293" s="203"/>
      <c r="C1293" s="203"/>
      <c r="D1293" s="203"/>
      <c r="E1293" s="203"/>
      <c r="F1293" s="203"/>
    </row>
    <row r="1294" spans="1:6">
      <c r="A1294" s="204"/>
      <c r="B1294" s="203"/>
      <c r="C1294" s="203"/>
      <c r="D1294" s="203"/>
      <c r="E1294" s="203"/>
      <c r="F1294" s="203"/>
    </row>
    <row r="1295" spans="1:6">
      <c r="A1295" s="204"/>
      <c r="B1295" s="203"/>
      <c r="C1295" s="203"/>
      <c r="D1295" s="203"/>
      <c r="E1295" s="203"/>
      <c r="F1295" s="203"/>
    </row>
    <row r="1296" spans="1:6">
      <c r="A1296" s="204"/>
      <c r="B1296" s="203"/>
      <c r="C1296" s="203"/>
      <c r="D1296" s="203"/>
      <c r="E1296" s="203"/>
      <c r="F1296" s="203"/>
    </row>
    <row r="1297" spans="1:6">
      <c r="A1297" s="204"/>
      <c r="B1297" s="203"/>
      <c r="C1297" s="203"/>
      <c r="D1297" s="203"/>
      <c r="E1297" s="203"/>
      <c r="F1297" s="203"/>
    </row>
    <row r="1298" spans="1:6">
      <c r="A1298" s="204"/>
      <c r="B1298" s="203"/>
      <c r="C1298" s="203"/>
      <c r="D1298" s="203"/>
      <c r="E1298" s="203"/>
      <c r="F1298" s="203"/>
    </row>
    <row r="1299" spans="1:6">
      <c r="A1299" s="204"/>
      <c r="B1299" s="203"/>
      <c r="C1299" s="203"/>
      <c r="D1299" s="203"/>
      <c r="E1299" s="203"/>
      <c r="F1299" s="203"/>
    </row>
    <row r="1300" spans="1:6">
      <c r="A1300" s="204"/>
      <c r="B1300" s="203"/>
      <c r="C1300" s="203"/>
      <c r="D1300" s="203"/>
      <c r="E1300" s="203"/>
      <c r="F1300" s="203"/>
    </row>
    <row r="1301" spans="1:6">
      <c r="A1301" s="204"/>
      <c r="B1301" s="203"/>
      <c r="C1301" s="203"/>
      <c r="D1301" s="203"/>
      <c r="E1301" s="203"/>
      <c r="F1301" s="203"/>
    </row>
    <row r="1302" spans="1:6">
      <c r="A1302" s="204"/>
      <c r="B1302" s="203"/>
      <c r="C1302" s="203"/>
      <c r="D1302" s="203"/>
      <c r="E1302" s="203"/>
      <c r="F1302" s="203"/>
    </row>
    <row r="1303" spans="1:6">
      <c r="A1303" s="204"/>
      <c r="B1303" s="203"/>
      <c r="C1303" s="203"/>
      <c r="D1303" s="203"/>
      <c r="E1303" s="203"/>
      <c r="F1303" s="203"/>
    </row>
    <row r="1304" spans="1:6">
      <c r="A1304" s="204"/>
      <c r="B1304" s="203"/>
      <c r="C1304" s="203"/>
      <c r="D1304" s="203"/>
      <c r="E1304" s="203"/>
      <c r="F1304" s="203"/>
    </row>
    <row r="1305" spans="1:6">
      <c r="A1305" s="204"/>
      <c r="B1305" s="203"/>
      <c r="C1305" s="203"/>
      <c r="D1305" s="203"/>
      <c r="E1305" s="203"/>
      <c r="F1305" s="203"/>
    </row>
    <row r="1306" spans="1:6">
      <c r="A1306" s="204"/>
      <c r="B1306" s="203"/>
      <c r="C1306" s="203"/>
      <c r="D1306" s="203"/>
      <c r="E1306" s="203"/>
      <c r="F1306" s="203"/>
    </row>
    <row r="1307" spans="1:6">
      <c r="A1307" s="204"/>
      <c r="B1307" s="203"/>
      <c r="C1307" s="203"/>
      <c r="D1307" s="203"/>
      <c r="E1307" s="203"/>
      <c r="F1307" s="203"/>
    </row>
    <row r="1308" spans="1:6">
      <c r="A1308" s="204"/>
      <c r="B1308" s="203"/>
      <c r="C1308" s="203"/>
      <c r="D1308" s="203"/>
      <c r="E1308" s="203"/>
      <c r="F1308" s="203"/>
    </row>
    <row r="1309" spans="1:6">
      <c r="A1309" s="204"/>
      <c r="B1309" s="203"/>
      <c r="C1309" s="203"/>
      <c r="D1309" s="203"/>
      <c r="E1309" s="203"/>
      <c r="F1309" s="203"/>
    </row>
    <row r="1310" spans="1:6">
      <c r="A1310" s="204"/>
      <c r="B1310" s="203"/>
      <c r="C1310" s="203"/>
      <c r="D1310" s="203"/>
      <c r="E1310" s="203"/>
      <c r="F1310" s="203"/>
    </row>
    <row r="1311" spans="1:6">
      <c r="A1311" s="204"/>
      <c r="B1311" s="203"/>
      <c r="C1311" s="203"/>
      <c r="D1311" s="203"/>
      <c r="E1311" s="203"/>
      <c r="F1311" s="203"/>
    </row>
    <row r="1312" spans="1:6">
      <c r="A1312" s="204"/>
      <c r="B1312" s="203"/>
      <c r="C1312" s="203"/>
      <c r="D1312" s="203"/>
      <c r="E1312" s="203"/>
      <c r="F1312" s="203"/>
    </row>
    <row r="1313" spans="1:6">
      <c r="A1313" s="204"/>
      <c r="B1313" s="203"/>
      <c r="C1313" s="203"/>
      <c r="D1313" s="203"/>
      <c r="E1313" s="203"/>
      <c r="F1313" s="203"/>
    </row>
    <row r="1314" spans="1:6">
      <c r="A1314" s="204"/>
      <c r="B1314" s="203"/>
      <c r="C1314" s="203"/>
      <c r="D1314" s="203"/>
      <c r="E1314" s="203"/>
      <c r="F1314" s="203"/>
    </row>
    <row r="1315" spans="1:6">
      <c r="A1315" s="204"/>
      <c r="B1315" s="203"/>
      <c r="C1315" s="203"/>
      <c r="D1315" s="203"/>
      <c r="E1315" s="203"/>
      <c r="F1315" s="203"/>
    </row>
    <row r="1316" spans="1:6">
      <c r="A1316" s="204"/>
      <c r="B1316" s="203"/>
      <c r="C1316" s="203"/>
      <c r="D1316" s="203"/>
      <c r="E1316" s="203"/>
      <c r="F1316" s="203"/>
    </row>
    <row r="1317" spans="1:6">
      <c r="A1317" s="204"/>
      <c r="B1317" s="203"/>
      <c r="C1317" s="203"/>
      <c r="D1317" s="203"/>
      <c r="E1317" s="203"/>
      <c r="F1317" s="203"/>
    </row>
    <row r="1318" spans="1:6">
      <c r="A1318" s="204"/>
      <c r="B1318" s="203"/>
      <c r="C1318" s="203"/>
      <c r="D1318" s="203"/>
      <c r="E1318" s="203"/>
      <c r="F1318" s="203"/>
    </row>
    <row r="1319" spans="1:6">
      <c r="A1319" s="204"/>
      <c r="B1319" s="203"/>
      <c r="C1319" s="203"/>
      <c r="D1319" s="203"/>
      <c r="E1319" s="203"/>
      <c r="F1319" s="203"/>
    </row>
    <row r="1320" spans="1:6">
      <c r="A1320" s="204"/>
      <c r="B1320" s="203"/>
      <c r="C1320" s="203"/>
      <c r="D1320" s="203"/>
      <c r="E1320" s="203"/>
      <c r="F1320" s="203"/>
    </row>
    <row r="1321" spans="1:6">
      <c r="A1321" s="204"/>
      <c r="B1321" s="203"/>
      <c r="C1321" s="203"/>
      <c r="D1321" s="203"/>
      <c r="E1321" s="203"/>
      <c r="F1321" s="203"/>
    </row>
    <row r="1322" spans="1:6">
      <c r="A1322" s="204"/>
      <c r="B1322" s="203"/>
      <c r="C1322" s="203"/>
      <c r="D1322" s="203"/>
      <c r="E1322" s="203"/>
      <c r="F1322" s="203"/>
    </row>
    <row r="1323" spans="1:6">
      <c r="A1323" s="204"/>
      <c r="B1323" s="203"/>
      <c r="C1323" s="203"/>
      <c r="D1323" s="203"/>
      <c r="E1323" s="203"/>
      <c r="F1323" s="203"/>
    </row>
    <row r="1324" spans="1:6">
      <c r="A1324" s="204"/>
      <c r="B1324" s="203"/>
      <c r="C1324" s="203"/>
      <c r="D1324" s="203"/>
      <c r="E1324" s="203"/>
      <c r="F1324" s="203"/>
    </row>
    <row r="1325" spans="1:6">
      <c r="A1325" s="204"/>
      <c r="B1325" s="203"/>
      <c r="C1325" s="203"/>
      <c r="D1325" s="203"/>
      <c r="E1325" s="203"/>
      <c r="F1325" s="203"/>
    </row>
    <row r="1326" spans="1:6">
      <c r="A1326" s="204"/>
      <c r="B1326" s="203"/>
      <c r="C1326" s="203"/>
      <c r="D1326" s="203"/>
      <c r="E1326" s="203"/>
      <c r="F1326" s="203"/>
    </row>
    <row r="1327" spans="1:6">
      <c r="A1327" s="204"/>
      <c r="B1327" s="203"/>
      <c r="C1327" s="203"/>
      <c r="D1327" s="203"/>
      <c r="E1327" s="203"/>
      <c r="F1327" s="203"/>
    </row>
    <row r="1328" spans="1:6">
      <c r="A1328" s="204"/>
      <c r="B1328" s="203"/>
      <c r="C1328" s="203"/>
      <c r="D1328" s="203"/>
      <c r="E1328" s="203"/>
      <c r="F1328" s="203"/>
    </row>
    <row r="1329" spans="1:6">
      <c r="A1329" s="204"/>
      <c r="B1329" s="203"/>
      <c r="C1329" s="203"/>
      <c r="D1329" s="203"/>
      <c r="E1329" s="203"/>
      <c r="F1329" s="203"/>
    </row>
    <row r="1330" spans="1:6">
      <c r="A1330" s="204"/>
      <c r="B1330" s="203"/>
      <c r="C1330" s="203"/>
      <c r="D1330" s="203"/>
      <c r="E1330" s="203"/>
      <c r="F1330" s="203"/>
    </row>
    <row r="1331" spans="1:6">
      <c r="A1331" s="204"/>
      <c r="B1331" s="203"/>
      <c r="C1331" s="203"/>
      <c r="D1331" s="203"/>
      <c r="E1331" s="203"/>
      <c r="F1331" s="203"/>
    </row>
    <row r="1332" spans="1:6">
      <c r="A1332" s="204"/>
      <c r="B1332" s="203"/>
      <c r="C1332" s="203"/>
      <c r="D1332" s="203"/>
      <c r="E1332" s="203"/>
      <c r="F1332" s="203"/>
    </row>
    <row r="1333" spans="1:6">
      <c r="A1333" s="204"/>
      <c r="B1333" s="203"/>
      <c r="C1333" s="203"/>
      <c r="D1333" s="203"/>
      <c r="E1333" s="203"/>
      <c r="F1333" s="203"/>
    </row>
    <row r="1334" spans="1:6">
      <c r="A1334" s="204"/>
      <c r="B1334" s="203"/>
      <c r="C1334" s="203"/>
      <c r="D1334" s="203"/>
      <c r="E1334" s="203"/>
      <c r="F1334" s="203"/>
    </row>
    <row r="1335" spans="1:6">
      <c r="A1335" s="204"/>
      <c r="B1335" s="203"/>
      <c r="C1335" s="203"/>
      <c r="D1335" s="203"/>
      <c r="E1335" s="203"/>
      <c r="F1335" s="203"/>
    </row>
    <row r="1336" spans="1:6">
      <c r="A1336" s="204"/>
      <c r="B1336" s="203"/>
      <c r="C1336" s="203"/>
      <c r="D1336" s="203"/>
      <c r="E1336" s="203"/>
      <c r="F1336" s="203"/>
    </row>
    <row r="1337" spans="1:6">
      <c r="A1337" s="204"/>
      <c r="B1337" s="203"/>
      <c r="C1337" s="203"/>
      <c r="D1337" s="203"/>
      <c r="E1337" s="203"/>
      <c r="F1337" s="203"/>
    </row>
    <row r="1338" spans="1:6">
      <c r="A1338" s="204"/>
      <c r="B1338" s="203"/>
      <c r="C1338" s="203"/>
      <c r="D1338" s="203"/>
      <c r="E1338" s="203"/>
      <c r="F1338" s="203"/>
    </row>
    <row r="1339" spans="1:6">
      <c r="A1339" s="204"/>
      <c r="B1339" s="203"/>
      <c r="C1339" s="203"/>
      <c r="D1339" s="203"/>
      <c r="E1339" s="203"/>
      <c r="F1339" s="203"/>
    </row>
    <row r="1340" spans="1:6">
      <c r="A1340" s="204"/>
      <c r="B1340" s="203"/>
      <c r="C1340" s="203"/>
      <c r="D1340" s="203"/>
      <c r="E1340" s="203"/>
      <c r="F1340" s="203"/>
    </row>
    <row r="1341" spans="1:6">
      <c r="A1341" s="204"/>
      <c r="B1341" s="203"/>
      <c r="C1341" s="203"/>
      <c r="D1341" s="203"/>
      <c r="E1341" s="203"/>
      <c r="F1341" s="203"/>
    </row>
    <row r="1342" spans="1:6">
      <c r="A1342" s="204"/>
      <c r="B1342" s="203"/>
      <c r="C1342" s="203"/>
      <c r="D1342" s="203"/>
      <c r="E1342" s="203"/>
      <c r="F1342" s="203"/>
    </row>
    <row r="1343" spans="1:6">
      <c r="A1343" s="204"/>
      <c r="B1343" s="203"/>
      <c r="C1343" s="203"/>
      <c r="D1343" s="203"/>
      <c r="E1343" s="203"/>
      <c r="F1343" s="203"/>
    </row>
    <row r="1344" spans="1:6">
      <c r="A1344" s="204"/>
      <c r="B1344" s="203"/>
      <c r="C1344" s="203"/>
      <c r="D1344" s="203"/>
      <c r="E1344" s="203"/>
      <c r="F1344" s="203"/>
    </row>
    <row r="1345" spans="1:6">
      <c r="A1345" s="204"/>
      <c r="B1345" s="203"/>
      <c r="C1345" s="203"/>
      <c r="D1345" s="203"/>
      <c r="E1345" s="203"/>
      <c r="F1345" s="203"/>
    </row>
    <row r="1346" spans="1:6">
      <c r="A1346" s="204"/>
      <c r="B1346" s="203"/>
      <c r="C1346" s="203"/>
      <c r="D1346" s="203"/>
      <c r="E1346" s="203"/>
      <c r="F1346" s="203"/>
    </row>
    <row r="1347" spans="1:6">
      <c r="A1347" s="204"/>
      <c r="B1347" s="203"/>
      <c r="C1347" s="203"/>
      <c r="D1347" s="203"/>
      <c r="E1347" s="203"/>
      <c r="F1347" s="203"/>
    </row>
    <row r="1348" spans="1:6">
      <c r="A1348" s="204"/>
      <c r="B1348" s="203"/>
      <c r="C1348" s="203"/>
      <c r="D1348" s="203"/>
      <c r="E1348" s="203"/>
      <c r="F1348" s="203"/>
    </row>
    <row r="1349" spans="1:6">
      <c r="A1349" s="204"/>
      <c r="B1349" s="203"/>
      <c r="C1349" s="203"/>
      <c r="D1349" s="203"/>
      <c r="E1349" s="203"/>
      <c r="F1349" s="203"/>
    </row>
    <row r="1350" spans="1:6">
      <c r="A1350" s="204"/>
      <c r="B1350" s="203"/>
      <c r="C1350" s="203"/>
      <c r="D1350" s="203"/>
      <c r="E1350" s="203"/>
      <c r="F1350" s="203"/>
    </row>
    <row r="1351" spans="1:6">
      <c r="A1351" s="204"/>
      <c r="B1351" s="203"/>
      <c r="C1351" s="203"/>
      <c r="D1351" s="203"/>
      <c r="E1351" s="203"/>
      <c r="F1351" s="203"/>
    </row>
    <row r="1352" spans="1:6">
      <c r="A1352" s="204"/>
      <c r="B1352" s="203"/>
      <c r="C1352" s="203"/>
      <c r="D1352" s="203"/>
      <c r="E1352" s="203"/>
      <c r="F1352" s="203"/>
    </row>
    <row r="1353" spans="1:6">
      <c r="A1353" s="204"/>
      <c r="B1353" s="203"/>
      <c r="C1353" s="203"/>
      <c r="D1353" s="203"/>
      <c r="E1353" s="203"/>
      <c r="F1353" s="203"/>
    </row>
    <row r="1354" spans="1:6">
      <c r="A1354" s="204"/>
      <c r="B1354" s="203"/>
      <c r="C1354" s="203"/>
      <c r="D1354" s="203"/>
      <c r="E1354" s="203"/>
      <c r="F1354" s="203"/>
    </row>
    <row r="1355" spans="1:6">
      <c r="A1355" s="204"/>
      <c r="B1355" s="203"/>
      <c r="C1355" s="203"/>
      <c r="D1355" s="203"/>
      <c r="E1355" s="203"/>
      <c r="F1355" s="203"/>
    </row>
    <row r="1356" spans="1:6">
      <c r="A1356" s="204"/>
      <c r="B1356" s="203"/>
      <c r="C1356" s="203"/>
      <c r="D1356" s="203"/>
      <c r="E1356" s="203"/>
      <c r="F1356" s="203"/>
    </row>
    <row r="1357" spans="1:6">
      <c r="A1357" s="204"/>
      <c r="B1357" s="203"/>
      <c r="C1357" s="203"/>
      <c r="D1357" s="203"/>
      <c r="E1357" s="203"/>
      <c r="F1357" s="203"/>
    </row>
    <row r="1358" spans="1:6">
      <c r="A1358" s="204"/>
      <c r="B1358" s="203"/>
      <c r="C1358" s="203"/>
      <c r="D1358" s="203"/>
      <c r="E1358" s="203"/>
      <c r="F1358" s="203"/>
    </row>
    <row r="1359" spans="1:6">
      <c r="A1359" s="204"/>
      <c r="B1359" s="203"/>
      <c r="C1359" s="203"/>
      <c r="D1359" s="203"/>
      <c r="E1359" s="203"/>
      <c r="F1359" s="203"/>
    </row>
    <row r="1360" spans="1:6">
      <c r="A1360" s="204"/>
      <c r="B1360" s="203"/>
      <c r="C1360" s="203"/>
      <c r="D1360" s="203"/>
      <c r="E1360" s="203"/>
      <c r="F1360" s="203"/>
    </row>
    <row r="1361" spans="1:6">
      <c r="A1361" s="204"/>
      <c r="B1361" s="203"/>
      <c r="C1361" s="203"/>
      <c r="D1361" s="203"/>
      <c r="E1361" s="203"/>
      <c r="F1361" s="203"/>
    </row>
    <row r="1362" spans="1:6">
      <c r="A1362" s="204"/>
      <c r="B1362" s="203"/>
      <c r="C1362" s="203"/>
      <c r="D1362" s="203"/>
      <c r="E1362" s="203"/>
      <c r="F1362" s="203"/>
    </row>
    <row r="1363" spans="1:6">
      <c r="A1363" s="204"/>
      <c r="B1363" s="203"/>
      <c r="C1363" s="203"/>
      <c r="D1363" s="203"/>
      <c r="E1363" s="203"/>
      <c r="F1363" s="203"/>
    </row>
    <row r="1364" spans="1:6">
      <c r="A1364" s="204"/>
      <c r="B1364" s="203"/>
      <c r="C1364" s="203"/>
      <c r="D1364" s="203"/>
      <c r="E1364" s="203"/>
      <c r="F1364" s="203"/>
    </row>
    <row r="1365" spans="1:6">
      <c r="A1365" s="204"/>
      <c r="B1365" s="203"/>
      <c r="C1365" s="203"/>
      <c r="D1365" s="203"/>
      <c r="E1365" s="203"/>
      <c r="F1365" s="203"/>
    </row>
    <row r="1366" spans="1:6">
      <c r="A1366" s="204"/>
      <c r="B1366" s="203"/>
      <c r="C1366" s="203"/>
      <c r="D1366" s="203"/>
      <c r="E1366" s="203"/>
      <c r="F1366" s="203"/>
    </row>
    <row r="1367" spans="1:6">
      <c r="A1367" s="204"/>
      <c r="B1367" s="203"/>
      <c r="C1367" s="203"/>
      <c r="D1367" s="203"/>
      <c r="E1367" s="203"/>
      <c r="F1367" s="203"/>
    </row>
    <row r="1368" spans="1:6">
      <c r="A1368" s="204"/>
      <c r="B1368" s="203"/>
      <c r="C1368" s="203"/>
      <c r="D1368" s="203"/>
      <c r="E1368" s="203"/>
      <c r="F1368" s="203"/>
    </row>
    <row r="1369" spans="1:6">
      <c r="A1369" s="204"/>
      <c r="B1369" s="203"/>
      <c r="C1369" s="203"/>
      <c r="D1369" s="203"/>
      <c r="E1369" s="203"/>
      <c r="F1369" s="203"/>
    </row>
    <row r="1370" spans="1:6">
      <c r="A1370" s="204"/>
      <c r="B1370" s="203"/>
      <c r="C1370" s="203"/>
      <c r="D1370" s="203"/>
      <c r="E1370" s="203"/>
      <c r="F1370" s="203"/>
    </row>
    <row r="1371" spans="1:6">
      <c r="A1371" s="204"/>
      <c r="B1371" s="203"/>
      <c r="C1371" s="203"/>
      <c r="D1371" s="203"/>
      <c r="E1371" s="203"/>
      <c r="F1371" s="203"/>
    </row>
    <row r="1372" spans="1:6">
      <c r="A1372" s="204"/>
      <c r="B1372" s="203"/>
      <c r="C1372" s="203"/>
      <c r="D1372" s="203"/>
      <c r="E1372" s="203"/>
      <c r="F1372" s="203"/>
    </row>
    <row r="1373" spans="1:6">
      <c r="A1373" s="204"/>
      <c r="B1373" s="203"/>
      <c r="C1373" s="203"/>
      <c r="D1373" s="203"/>
      <c r="E1373" s="203"/>
      <c r="F1373" s="203"/>
    </row>
    <row r="1374" spans="1:6">
      <c r="A1374" s="204"/>
      <c r="B1374" s="203"/>
      <c r="C1374" s="203"/>
      <c r="D1374" s="203"/>
      <c r="E1374" s="203"/>
      <c r="F1374" s="203"/>
    </row>
    <row r="1375" spans="1:6">
      <c r="A1375" s="204"/>
      <c r="B1375" s="203"/>
      <c r="C1375" s="203"/>
      <c r="D1375" s="203"/>
      <c r="E1375" s="203"/>
      <c r="F1375" s="203"/>
    </row>
    <row r="1376" spans="1:6">
      <c r="A1376" s="204"/>
      <c r="B1376" s="203"/>
      <c r="C1376" s="203"/>
      <c r="D1376" s="203"/>
      <c r="E1376" s="203"/>
      <c r="F1376" s="203"/>
    </row>
    <row r="1377" spans="1:6">
      <c r="A1377" s="204"/>
      <c r="B1377" s="203"/>
      <c r="C1377" s="203"/>
      <c r="D1377" s="203"/>
      <c r="E1377" s="203"/>
      <c r="F1377" s="203"/>
    </row>
    <row r="1378" spans="1:6">
      <c r="A1378" s="204"/>
      <c r="B1378" s="203"/>
      <c r="C1378" s="203"/>
      <c r="D1378" s="203"/>
      <c r="E1378" s="203"/>
      <c r="F1378" s="203"/>
    </row>
    <row r="1379" spans="1:6">
      <c r="A1379" s="204"/>
      <c r="B1379" s="203"/>
      <c r="C1379" s="203"/>
      <c r="D1379" s="203"/>
      <c r="E1379" s="203"/>
      <c r="F1379" s="203"/>
    </row>
    <row r="1380" spans="1:6">
      <c r="A1380" s="204"/>
      <c r="B1380" s="203"/>
      <c r="C1380" s="203"/>
      <c r="D1380" s="203"/>
      <c r="E1380" s="203"/>
      <c r="F1380" s="203"/>
    </row>
    <row r="1381" spans="1:6">
      <c r="A1381" s="204"/>
      <c r="B1381" s="203"/>
      <c r="C1381" s="203"/>
      <c r="D1381" s="203"/>
      <c r="E1381" s="203"/>
      <c r="F1381" s="203"/>
    </row>
    <row r="1382" spans="1:6">
      <c r="A1382" s="204"/>
      <c r="B1382" s="203"/>
      <c r="C1382" s="203"/>
      <c r="D1382" s="203"/>
      <c r="E1382" s="203"/>
      <c r="F1382" s="203"/>
    </row>
    <row r="1383" spans="1:6">
      <c r="A1383" s="204"/>
      <c r="B1383" s="203"/>
      <c r="C1383" s="203"/>
      <c r="D1383" s="203"/>
      <c r="E1383" s="203"/>
      <c r="F1383" s="203"/>
    </row>
    <row r="1384" spans="1:6">
      <c r="A1384" s="204"/>
      <c r="B1384" s="203"/>
      <c r="C1384" s="203"/>
      <c r="D1384" s="203"/>
      <c r="E1384" s="203"/>
      <c r="F1384" s="203"/>
    </row>
    <row r="1385" spans="1:6">
      <c r="A1385" s="204"/>
      <c r="B1385" s="203"/>
      <c r="C1385" s="203"/>
      <c r="D1385" s="203"/>
      <c r="E1385" s="203"/>
      <c r="F1385" s="203"/>
    </row>
    <row r="1386" spans="1:6">
      <c r="A1386" s="204"/>
      <c r="B1386" s="203"/>
      <c r="C1386" s="203"/>
      <c r="D1386" s="203"/>
      <c r="E1386" s="203"/>
      <c r="F1386" s="203"/>
    </row>
    <row r="1387" spans="1:6">
      <c r="A1387" s="204"/>
      <c r="B1387" s="203"/>
      <c r="C1387" s="203"/>
      <c r="D1387" s="203"/>
      <c r="E1387" s="203"/>
      <c r="F1387" s="203"/>
    </row>
    <row r="1388" spans="1:6">
      <c r="A1388" s="204"/>
      <c r="B1388" s="203"/>
      <c r="C1388" s="203"/>
      <c r="D1388" s="203"/>
      <c r="E1388" s="203"/>
      <c r="F1388" s="203"/>
    </row>
    <row r="1389" spans="1:6">
      <c r="A1389" s="204"/>
      <c r="B1389" s="203"/>
      <c r="C1389" s="203"/>
      <c r="D1389" s="203"/>
      <c r="E1389" s="203"/>
      <c r="F1389" s="203"/>
    </row>
    <row r="1390" spans="1:6">
      <c r="A1390" s="204"/>
      <c r="B1390" s="203"/>
      <c r="C1390" s="203"/>
      <c r="D1390" s="203"/>
      <c r="E1390" s="203"/>
      <c r="F1390" s="203"/>
    </row>
    <row r="1391" spans="1:6">
      <c r="A1391" s="204"/>
      <c r="B1391" s="203"/>
      <c r="C1391" s="203"/>
      <c r="D1391" s="203"/>
      <c r="E1391" s="203"/>
      <c r="F1391" s="203"/>
    </row>
    <row r="1392" spans="1:6">
      <c r="A1392" s="204"/>
      <c r="B1392" s="203"/>
      <c r="C1392" s="203"/>
      <c r="D1392" s="203"/>
      <c r="E1392" s="203"/>
      <c r="F1392" s="203"/>
    </row>
    <row r="1393" spans="1:6">
      <c r="A1393" s="204"/>
      <c r="B1393" s="203"/>
      <c r="C1393" s="203"/>
      <c r="D1393" s="203"/>
      <c r="E1393" s="203"/>
      <c r="F1393" s="203"/>
    </row>
    <row r="1394" spans="1:6">
      <c r="A1394" s="204"/>
      <c r="B1394" s="203"/>
      <c r="C1394" s="203"/>
      <c r="D1394" s="203"/>
      <c r="E1394" s="203"/>
      <c r="F1394" s="203"/>
    </row>
    <row r="1395" spans="1:6">
      <c r="A1395" s="204"/>
      <c r="B1395" s="203"/>
      <c r="C1395" s="203"/>
      <c r="D1395" s="203"/>
      <c r="E1395" s="203"/>
      <c r="F1395" s="203"/>
    </row>
    <row r="1396" spans="1:6">
      <c r="A1396" s="204"/>
      <c r="B1396" s="203"/>
      <c r="C1396" s="203"/>
      <c r="D1396" s="203"/>
      <c r="E1396" s="203"/>
      <c r="F1396" s="203"/>
    </row>
    <row r="1397" spans="1:6">
      <c r="A1397" s="204"/>
      <c r="B1397" s="203"/>
      <c r="C1397" s="203"/>
      <c r="D1397" s="203"/>
      <c r="E1397" s="203"/>
      <c r="F1397" s="203"/>
    </row>
    <row r="1398" spans="1:6">
      <c r="A1398" s="204"/>
      <c r="B1398" s="203"/>
      <c r="C1398" s="203"/>
      <c r="D1398" s="203"/>
      <c r="E1398" s="203"/>
      <c r="F1398" s="203"/>
    </row>
    <row r="1399" spans="1:6">
      <c r="A1399" s="204"/>
      <c r="B1399" s="203"/>
      <c r="C1399" s="203"/>
      <c r="D1399" s="203"/>
      <c r="E1399" s="203"/>
      <c r="F1399" s="203"/>
    </row>
    <row r="1400" spans="1:6">
      <c r="A1400" s="204"/>
      <c r="B1400" s="203"/>
      <c r="C1400" s="203"/>
      <c r="D1400" s="203"/>
      <c r="E1400" s="203"/>
      <c r="F1400" s="203"/>
    </row>
    <row r="1401" spans="1:6">
      <c r="A1401" s="204"/>
      <c r="B1401" s="203"/>
      <c r="C1401" s="203"/>
      <c r="D1401" s="203"/>
      <c r="E1401" s="203"/>
      <c r="F1401" s="203"/>
    </row>
    <row r="1402" spans="1:6">
      <c r="A1402" s="204"/>
      <c r="B1402" s="203"/>
      <c r="C1402" s="203"/>
      <c r="D1402" s="203"/>
      <c r="E1402" s="203"/>
      <c r="F1402" s="203"/>
    </row>
    <row r="1403" spans="1:6">
      <c r="A1403" s="204"/>
      <c r="B1403" s="203"/>
      <c r="C1403" s="203"/>
      <c r="D1403" s="203"/>
      <c r="E1403" s="203"/>
      <c r="F1403" s="203"/>
    </row>
    <row r="1404" spans="1:6">
      <c r="A1404" s="204"/>
      <c r="B1404" s="203"/>
      <c r="C1404" s="203"/>
      <c r="D1404" s="203"/>
      <c r="E1404" s="203"/>
      <c r="F1404" s="203"/>
    </row>
    <row r="1405" spans="1:6">
      <c r="A1405" s="204"/>
      <c r="B1405" s="203"/>
      <c r="C1405" s="203"/>
      <c r="D1405" s="203"/>
      <c r="E1405" s="203"/>
      <c r="F1405" s="203"/>
    </row>
    <row r="1406" spans="1:6">
      <c r="A1406" s="204"/>
      <c r="B1406" s="203"/>
      <c r="C1406" s="203"/>
      <c r="D1406" s="203"/>
      <c r="E1406" s="203"/>
      <c r="F1406" s="203"/>
    </row>
    <row r="1407" spans="1:6">
      <c r="A1407" s="204"/>
      <c r="B1407" s="203"/>
      <c r="C1407" s="203"/>
      <c r="D1407" s="203"/>
      <c r="E1407" s="203"/>
      <c r="F1407" s="203"/>
    </row>
    <row r="1408" spans="1:6">
      <c r="A1408" s="204"/>
      <c r="B1408" s="203"/>
      <c r="C1408" s="203"/>
      <c r="D1408" s="203"/>
      <c r="E1408" s="203"/>
      <c r="F1408" s="203"/>
    </row>
    <row r="1409" spans="1:6">
      <c r="A1409" s="204"/>
      <c r="B1409" s="203"/>
      <c r="C1409" s="203"/>
      <c r="D1409" s="203"/>
      <c r="E1409" s="203"/>
      <c r="F1409" s="203"/>
    </row>
    <row r="1410" spans="1:6">
      <c r="A1410" s="204"/>
      <c r="B1410" s="203"/>
      <c r="C1410" s="203"/>
      <c r="D1410" s="203"/>
      <c r="E1410" s="203"/>
      <c r="F1410" s="203"/>
    </row>
    <row r="1411" spans="1:6">
      <c r="A1411" s="204"/>
      <c r="B1411" s="203"/>
      <c r="C1411" s="203"/>
      <c r="D1411" s="203"/>
      <c r="E1411" s="203"/>
      <c r="F1411" s="203"/>
    </row>
    <row r="1412" spans="1:6">
      <c r="A1412" s="204"/>
      <c r="B1412" s="203"/>
      <c r="C1412" s="203"/>
      <c r="D1412" s="203"/>
      <c r="E1412" s="203"/>
      <c r="F1412" s="203"/>
    </row>
    <row r="1413" spans="1:6">
      <c r="A1413" s="204"/>
      <c r="B1413" s="203"/>
      <c r="C1413" s="203"/>
      <c r="D1413" s="203"/>
      <c r="E1413" s="203"/>
      <c r="F1413" s="203"/>
    </row>
    <row r="1414" spans="1:6">
      <c r="A1414" s="204"/>
      <c r="B1414" s="203"/>
      <c r="C1414" s="203"/>
      <c r="D1414" s="203"/>
      <c r="E1414" s="203"/>
      <c r="F1414" s="203"/>
    </row>
    <row r="1415" spans="1:6">
      <c r="A1415" s="204"/>
      <c r="B1415" s="203"/>
      <c r="C1415" s="203"/>
      <c r="D1415" s="203"/>
      <c r="E1415" s="203"/>
      <c r="F1415" s="203"/>
    </row>
    <row r="1416" spans="1:6">
      <c r="A1416" s="204"/>
      <c r="B1416" s="203"/>
      <c r="C1416" s="203"/>
      <c r="D1416" s="203"/>
      <c r="E1416" s="203"/>
      <c r="F1416" s="203"/>
    </row>
    <row r="1417" spans="1:6">
      <c r="A1417" s="204"/>
      <c r="B1417" s="203"/>
      <c r="C1417" s="203"/>
      <c r="D1417" s="203"/>
      <c r="E1417" s="203"/>
      <c r="F1417" s="203"/>
    </row>
    <row r="1418" spans="1:6">
      <c r="A1418" s="204"/>
      <c r="B1418" s="203"/>
      <c r="C1418" s="203"/>
      <c r="D1418" s="203"/>
      <c r="E1418" s="203"/>
      <c r="F1418" s="203"/>
    </row>
    <row r="1419" spans="1:6">
      <c r="A1419" s="204"/>
      <c r="B1419" s="203"/>
      <c r="C1419" s="203"/>
      <c r="D1419" s="203"/>
      <c r="E1419" s="203"/>
      <c r="F1419" s="203"/>
    </row>
    <row r="1420" spans="1:6">
      <c r="A1420" s="204"/>
      <c r="B1420" s="203"/>
      <c r="C1420" s="203"/>
      <c r="D1420" s="203"/>
      <c r="E1420" s="203"/>
      <c r="F1420" s="203"/>
    </row>
    <row r="1421" spans="1:6">
      <c r="A1421" s="204"/>
      <c r="B1421" s="203"/>
      <c r="C1421" s="203"/>
      <c r="D1421" s="203"/>
      <c r="E1421" s="203"/>
      <c r="F1421" s="203"/>
    </row>
    <row r="1422" spans="1:6">
      <c r="A1422" s="204"/>
      <c r="B1422" s="203"/>
      <c r="C1422" s="203"/>
      <c r="D1422" s="203"/>
      <c r="E1422" s="203"/>
      <c r="F1422" s="203"/>
    </row>
    <row r="1423" spans="1:6">
      <c r="A1423" s="204"/>
      <c r="B1423" s="203"/>
      <c r="C1423" s="203"/>
      <c r="D1423" s="203"/>
      <c r="E1423" s="203"/>
      <c r="F1423" s="203"/>
    </row>
    <row r="1424" spans="1:6">
      <c r="A1424" s="204"/>
      <c r="B1424" s="203"/>
      <c r="C1424" s="203"/>
      <c r="D1424" s="203"/>
      <c r="E1424" s="203"/>
      <c r="F1424" s="203"/>
    </row>
    <row r="1425" spans="1:6">
      <c r="A1425" s="204"/>
      <c r="B1425" s="203"/>
      <c r="C1425" s="203"/>
      <c r="D1425" s="203"/>
      <c r="E1425" s="203"/>
      <c r="F1425" s="203"/>
    </row>
    <row r="1426" spans="1:6">
      <c r="A1426" s="204"/>
      <c r="B1426" s="203"/>
      <c r="C1426" s="203"/>
      <c r="D1426" s="203"/>
      <c r="E1426" s="203"/>
      <c r="F1426" s="203"/>
    </row>
    <row r="1427" spans="1:6">
      <c r="A1427" s="204"/>
      <c r="B1427" s="203"/>
      <c r="C1427" s="203"/>
      <c r="D1427" s="203"/>
      <c r="E1427" s="203"/>
      <c r="F1427" s="203"/>
    </row>
    <row r="1428" spans="1:6">
      <c r="A1428" s="204"/>
      <c r="B1428" s="203"/>
      <c r="C1428" s="203"/>
      <c r="D1428" s="203"/>
      <c r="E1428" s="203"/>
      <c r="F1428" s="203"/>
    </row>
    <row r="1429" spans="1:6">
      <c r="A1429" s="204"/>
      <c r="B1429" s="203"/>
      <c r="C1429" s="203"/>
      <c r="D1429" s="203"/>
      <c r="E1429" s="203"/>
      <c r="F1429" s="203"/>
    </row>
    <row r="1430" spans="1:6">
      <c r="A1430" s="204"/>
      <c r="B1430" s="203"/>
      <c r="C1430" s="203"/>
      <c r="D1430" s="203"/>
      <c r="E1430" s="203"/>
      <c r="F1430" s="203"/>
    </row>
    <row r="1431" spans="1:6">
      <c r="A1431" s="204"/>
      <c r="B1431" s="203"/>
      <c r="C1431" s="203"/>
      <c r="D1431" s="203"/>
      <c r="E1431" s="203"/>
      <c r="F1431" s="203"/>
    </row>
    <row r="1432" spans="1:6">
      <c r="A1432" s="204"/>
      <c r="B1432" s="203"/>
      <c r="C1432" s="203"/>
      <c r="D1432" s="203"/>
      <c r="E1432" s="203"/>
      <c r="F1432" s="203"/>
    </row>
    <row r="1433" spans="1:6">
      <c r="A1433" s="204"/>
      <c r="B1433" s="203"/>
      <c r="C1433" s="203"/>
      <c r="D1433" s="203"/>
      <c r="E1433" s="203"/>
      <c r="F1433" s="203"/>
    </row>
    <row r="1434" spans="1:6">
      <c r="A1434" s="204"/>
      <c r="B1434" s="203"/>
      <c r="C1434" s="203"/>
      <c r="D1434" s="203"/>
      <c r="E1434" s="203"/>
      <c r="F1434" s="203"/>
    </row>
    <row r="1435" spans="1:6">
      <c r="A1435" s="204"/>
      <c r="B1435" s="203"/>
      <c r="C1435" s="203"/>
      <c r="D1435" s="203"/>
      <c r="E1435" s="203"/>
      <c r="F1435" s="203"/>
    </row>
    <row r="1436" spans="1:6">
      <c r="A1436" s="204"/>
      <c r="B1436" s="203"/>
      <c r="C1436" s="203"/>
      <c r="D1436" s="203"/>
      <c r="E1436" s="203"/>
      <c r="F1436" s="203"/>
    </row>
    <row r="1437" spans="1:6">
      <c r="A1437" s="204"/>
      <c r="B1437" s="203"/>
      <c r="C1437" s="203"/>
      <c r="D1437" s="203"/>
      <c r="E1437" s="203"/>
      <c r="F1437" s="203"/>
    </row>
    <row r="1438" spans="1:6">
      <c r="A1438" s="204"/>
      <c r="B1438" s="203"/>
      <c r="C1438" s="203"/>
      <c r="D1438" s="203"/>
      <c r="E1438" s="203"/>
      <c r="F1438" s="203"/>
    </row>
    <row r="1439" spans="1:6">
      <c r="A1439" s="204"/>
      <c r="B1439" s="203"/>
      <c r="C1439" s="203"/>
      <c r="D1439" s="203"/>
      <c r="E1439" s="203"/>
      <c r="F1439" s="203"/>
    </row>
    <row r="1440" spans="1:6">
      <c r="A1440" s="204"/>
      <c r="B1440" s="203"/>
      <c r="C1440" s="203"/>
      <c r="D1440" s="203"/>
      <c r="E1440" s="203"/>
      <c r="F1440" s="203"/>
    </row>
    <row r="1441" spans="1:6">
      <c r="A1441" s="204"/>
      <c r="B1441" s="203"/>
      <c r="C1441" s="203"/>
      <c r="D1441" s="203"/>
      <c r="E1441" s="203"/>
      <c r="F1441" s="203"/>
    </row>
    <row r="1442" spans="1:6">
      <c r="A1442" s="204"/>
      <c r="B1442" s="203"/>
      <c r="C1442" s="203"/>
      <c r="D1442" s="203"/>
      <c r="E1442" s="203"/>
      <c r="F1442" s="203"/>
    </row>
    <row r="1443" spans="1:6">
      <c r="A1443" s="204"/>
      <c r="B1443" s="203"/>
      <c r="C1443" s="203"/>
      <c r="D1443" s="203"/>
      <c r="E1443" s="203"/>
      <c r="F1443" s="203"/>
    </row>
    <row r="1444" spans="1:6">
      <c r="A1444" s="204"/>
      <c r="B1444" s="203"/>
      <c r="C1444" s="203"/>
      <c r="D1444" s="203"/>
      <c r="E1444" s="203"/>
      <c r="F1444" s="203"/>
    </row>
    <row r="1445" spans="1:6">
      <c r="A1445" s="204"/>
      <c r="B1445" s="203"/>
      <c r="C1445" s="203"/>
      <c r="D1445" s="203"/>
      <c r="E1445" s="203"/>
      <c r="F1445" s="203"/>
    </row>
    <row r="1446" spans="1:6">
      <c r="A1446" s="204"/>
      <c r="B1446" s="203"/>
      <c r="C1446" s="203"/>
      <c r="D1446" s="203"/>
      <c r="E1446" s="203"/>
      <c r="F1446" s="203"/>
    </row>
    <row r="1447" spans="1:6">
      <c r="A1447" s="204"/>
      <c r="B1447" s="203"/>
      <c r="C1447" s="203"/>
      <c r="D1447" s="203"/>
      <c r="E1447" s="203"/>
      <c r="F1447" s="203"/>
    </row>
    <row r="1448" spans="1:6">
      <c r="A1448" s="204"/>
      <c r="B1448" s="203"/>
      <c r="C1448" s="203"/>
      <c r="D1448" s="203"/>
      <c r="E1448" s="203"/>
      <c r="F1448" s="203"/>
    </row>
    <row r="1449" spans="1:6">
      <c r="A1449" s="204"/>
      <c r="B1449" s="203"/>
      <c r="C1449" s="203"/>
      <c r="D1449" s="203"/>
      <c r="E1449" s="203"/>
      <c r="F1449" s="203"/>
    </row>
    <row r="1450" spans="1:6">
      <c r="A1450" s="204"/>
      <c r="B1450" s="203"/>
      <c r="C1450" s="203"/>
      <c r="D1450" s="203"/>
      <c r="E1450" s="203"/>
      <c r="F1450" s="203"/>
    </row>
    <row r="1451" spans="1:6">
      <c r="A1451" s="204"/>
      <c r="B1451" s="203"/>
      <c r="C1451" s="203"/>
      <c r="D1451" s="203"/>
      <c r="E1451" s="203"/>
      <c r="F1451" s="203"/>
    </row>
    <row r="1452" spans="1:6">
      <c r="A1452" s="204"/>
      <c r="B1452" s="203"/>
      <c r="C1452" s="203"/>
      <c r="D1452" s="203"/>
      <c r="E1452" s="203"/>
      <c r="F1452" s="203"/>
    </row>
    <row r="1453" spans="1:6">
      <c r="A1453" s="204"/>
      <c r="B1453" s="203"/>
      <c r="C1453" s="203"/>
      <c r="D1453" s="203"/>
      <c r="E1453" s="203"/>
      <c r="F1453" s="203"/>
    </row>
    <row r="1454" spans="1:6">
      <c r="A1454" s="204"/>
      <c r="B1454" s="203"/>
      <c r="C1454" s="203"/>
      <c r="D1454" s="203"/>
      <c r="E1454" s="203"/>
      <c r="F1454" s="203"/>
    </row>
    <row r="1455" spans="1:6">
      <c r="A1455" s="204"/>
      <c r="B1455" s="203"/>
      <c r="C1455" s="203"/>
      <c r="D1455" s="203"/>
      <c r="E1455" s="203"/>
      <c r="F1455" s="203"/>
    </row>
    <row r="1456" spans="1:6">
      <c r="A1456" s="204"/>
      <c r="B1456" s="203"/>
      <c r="C1456" s="203"/>
      <c r="D1456" s="203"/>
      <c r="E1456" s="203"/>
      <c r="F1456" s="203"/>
    </row>
    <row r="1457" spans="1:6">
      <c r="A1457" s="204"/>
      <c r="B1457" s="203"/>
      <c r="C1457" s="203"/>
      <c r="D1457" s="203"/>
      <c r="E1457" s="203"/>
      <c r="F1457" s="203"/>
    </row>
    <row r="1458" spans="1:6">
      <c r="A1458" s="204"/>
      <c r="B1458" s="203"/>
      <c r="C1458" s="203"/>
      <c r="D1458" s="203"/>
      <c r="E1458" s="203"/>
      <c r="F1458" s="203"/>
    </row>
    <row r="1459" spans="1:6">
      <c r="A1459" s="204"/>
      <c r="B1459" s="203"/>
      <c r="C1459" s="203"/>
      <c r="D1459" s="203"/>
      <c r="E1459" s="203"/>
      <c r="F1459" s="203"/>
    </row>
    <row r="1460" spans="1:6">
      <c r="A1460" s="204"/>
      <c r="B1460" s="203"/>
      <c r="C1460" s="203"/>
      <c r="D1460" s="203"/>
      <c r="E1460" s="203"/>
      <c r="F1460" s="203"/>
    </row>
    <row r="1461" spans="1:6">
      <c r="A1461" s="204"/>
      <c r="B1461" s="203"/>
      <c r="C1461" s="203"/>
      <c r="D1461" s="203"/>
      <c r="E1461" s="203"/>
      <c r="F1461" s="203"/>
    </row>
    <row r="1462" spans="1:6">
      <c r="A1462" s="204"/>
      <c r="B1462" s="203"/>
      <c r="C1462" s="203"/>
      <c r="D1462" s="203"/>
      <c r="E1462" s="203"/>
      <c r="F1462" s="203"/>
    </row>
    <row r="1463" spans="1:6">
      <c r="A1463" s="204"/>
      <c r="B1463" s="203"/>
      <c r="C1463" s="203"/>
      <c r="D1463" s="203"/>
      <c r="E1463" s="203"/>
      <c r="F1463" s="203"/>
    </row>
    <row r="1464" spans="1:6">
      <c r="A1464" s="204"/>
      <c r="B1464" s="203"/>
      <c r="C1464" s="203"/>
      <c r="D1464" s="203"/>
      <c r="E1464" s="203"/>
      <c r="F1464" s="203"/>
    </row>
    <row r="1465" spans="1:6">
      <c r="A1465" s="204"/>
      <c r="B1465" s="203"/>
      <c r="C1465" s="203"/>
      <c r="D1465" s="203"/>
      <c r="E1465" s="203"/>
      <c r="F1465" s="203"/>
    </row>
    <row r="1466" spans="1:6">
      <c r="A1466" s="204"/>
      <c r="B1466" s="203"/>
      <c r="C1466" s="203"/>
      <c r="D1466" s="203"/>
      <c r="E1466" s="203"/>
      <c r="F1466" s="203"/>
    </row>
    <row r="1467" spans="1:6">
      <c r="A1467" s="204"/>
      <c r="B1467" s="203"/>
      <c r="C1467" s="203"/>
      <c r="D1467" s="203"/>
      <c r="E1467" s="203"/>
      <c r="F1467" s="203"/>
    </row>
    <row r="1468" spans="1:6">
      <c r="A1468" s="204"/>
      <c r="B1468" s="203"/>
      <c r="C1468" s="203"/>
      <c r="D1468" s="203"/>
      <c r="E1468" s="203"/>
      <c r="F1468" s="203"/>
    </row>
    <row r="1469" spans="1:6">
      <c r="A1469" s="204"/>
      <c r="B1469" s="203"/>
      <c r="C1469" s="203"/>
      <c r="D1469" s="203"/>
      <c r="E1469" s="203"/>
      <c r="F1469" s="203"/>
    </row>
    <row r="1470" spans="1:6">
      <c r="A1470" s="204"/>
      <c r="B1470" s="203"/>
      <c r="C1470" s="203"/>
      <c r="D1470" s="203"/>
      <c r="E1470" s="203"/>
      <c r="F1470" s="203"/>
    </row>
    <row r="1471" spans="1:6">
      <c r="A1471" s="204"/>
      <c r="B1471" s="203"/>
      <c r="C1471" s="203"/>
      <c r="D1471" s="203"/>
      <c r="E1471" s="203"/>
      <c r="F1471" s="203"/>
    </row>
    <row r="1472" spans="1:6">
      <c r="A1472" s="204"/>
      <c r="B1472" s="203"/>
      <c r="C1472" s="203"/>
      <c r="D1472" s="203"/>
      <c r="E1472" s="203"/>
      <c r="F1472" s="203"/>
    </row>
    <row r="1473" spans="1:6">
      <c r="A1473" s="204"/>
      <c r="B1473" s="203"/>
      <c r="C1473" s="203"/>
      <c r="D1473" s="203"/>
      <c r="E1473" s="203"/>
      <c r="F1473" s="203"/>
    </row>
    <row r="1474" spans="1:6">
      <c r="A1474" s="204"/>
      <c r="B1474" s="203"/>
      <c r="C1474" s="203"/>
      <c r="D1474" s="203"/>
      <c r="E1474" s="203"/>
      <c r="F1474" s="203"/>
    </row>
    <row r="1475" spans="1:6">
      <c r="A1475" s="204"/>
      <c r="B1475" s="203"/>
      <c r="C1475" s="203"/>
      <c r="D1475" s="203"/>
      <c r="E1475" s="203"/>
      <c r="F1475" s="203"/>
    </row>
    <row r="1476" spans="1:6">
      <c r="A1476" s="204"/>
      <c r="B1476" s="203"/>
      <c r="C1476" s="203"/>
      <c r="D1476" s="203"/>
      <c r="E1476" s="203"/>
      <c r="F1476" s="203"/>
    </row>
    <row r="1477" spans="1:6">
      <c r="A1477" s="204"/>
      <c r="B1477" s="203"/>
      <c r="C1477" s="203"/>
      <c r="D1477" s="203"/>
      <c r="E1477" s="203"/>
      <c r="F1477" s="203"/>
    </row>
    <row r="1478" spans="1:6">
      <c r="A1478" s="204"/>
      <c r="B1478" s="203"/>
      <c r="C1478" s="203"/>
      <c r="D1478" s="203"/>
      <c r="E1478" s="203"/>
      <c r="F1478" s="203"/>
    </row>
    <row r="1479" spans="1:6">
      <c r="A1479" s="204"/>
      <c r="B1479" s="203"/>
      <c r="C1479" s="203"/>
      <c r="D1479" s="203"/>
      <c r="E1479" s="203"/>
      <c r="F1479" s="203"/>
    </row>
    <row r="1480" spans="1:6">
      <c r="A1480" s="204"/>
      <c r="B1480" s="203"/>
      <c r="C1480" s="203"/>
      <c r="D1480" s="203"/>
      <c r="E1480" s="203"/>
      <c r="F1480" s="203"/>
    </row>
    <row r="1481" spans="1:6">
      <c r="A1481" s="204"/>
      <c r="B1481" s="203"/>
      <c r="C1481" s="203"/>
      <c r="D1481" s="203"/>
      <c r="E1481" s="203"/>
      <c r="F1481" s="203"/>
    </row>
    <row r="1482" spans="1:6">
      <c r="A1482" s="204"/>
      <c r="B1482" s="203"/>
      <c r="C1482" s="203"/>
      <c r="D1482" s="203"/>
      <c r="E1482" s="203"/>
      <c r="F1482" s="203"/>
    </row>
    <row r="1483" spans="1:6">
      <c r="A1483" s="204"/>
      <c r="B1483" s="203"/>
      <c r="C1483" s="203"/>
      <c r="D1483" s="203"/>
      <c r="E1483" s="203"/>
      <c r="F1483" s="203"/>
    </row>
    <row r="1484" spans="1:6">
      <c r="A1484" s="204"/>
      <c r="B1484" s="203"/>
      <c r="C1484" s="203"/>
      <c r="D1484" s="203"/>
      <c r="E1484" s="203"/>
      <c r="F1484" s="203"/>
    </row>
    <row r="1485" spans="1:6">
      <c r="A1485" s="204"/>
      <c r="B1485" s="203"/>
      <c r="C1485" s="203"/>
      <c r="D1485" s="203"/>
      <c r="E1485" s="203"/>
      <c r="F1485" s="203"/>
    </row>
    <row r="1486" spans="1:6">
      <c r="A1486" s="204"/>
      <c r="B1486" s="203"/>
      <c r="C1486" s="203"/>
      <c r="D1486" s="203"/>
      <c r="E1486" s="203"/>
      <c r="F1486" s="203"/>
    </row>
    <row r="1487" spans="1:6">
      <c r="A1487" s="204"/>
      <c r="B1487" s="203"/>
      <c r="C1487" s="203"/>
      <c r="D1487" s="203"/>
      <c r="E1487" s="203"/>
      <c r="F1487" s="203"/>
    </row>
    <row r="1488" spans="1:6">
      <c r="A1488" s="204"/>
      <c r="B1488" s="203"/>
      <c r="C1488" s="203"/>
      <c r="D1488" s="203"/>
      <c r="E1488" s="203"/>
      <c r="F1488" s="203"/>
    </row>
    <row r="1489" spans="1:6">
      <c r="A1489" s="204"/>
      <c r="B1489" s="203"/>
      <c r="C1489" s="203"/>
      <c r="D1489" s="203"/>
      <c r="E1489" s="203"/>
      <c r="F1489" s="203"/>
    </row>
    <row r="1490" spans="1:6">
      <c r="A1490" s="204"/>
      <c r="B1490" s="203"/>
      <c r="C1490" s="203"/>
      <c r="D1490" s="203"/>
      <c r="E1490" s="203"/>
      <c r="F1490" s="203"/>
    </row>
    <row r="1491" spans="1:6">
      <c r="A1491" s="204"/>
      <c r="B1491" s="203"/>
      <c r="C1491" s="203"/>
      <c r="D1491" s="203"/>
      <c r="E1491" s="203"/>
      <c r="F1491" s="203"/>
    </row>
    <row r="1492" spans="1:6">
      <c r="A1492" s="204"/>
      <c r="B1492" s="203"/>
      <c r="C1492" s="203"/>
      <c r="D1492" s="203"/>
      <c r="E1492" s="203"/>
      <c r="F1492" s="203"/>
    </row>
    <row r="1493" spans="1:6">
      <c r="A1493" s="204"/>
      <c r="B1493" s="203"/>
      <c r="C1493" s="203"/>
      <c r="D1493" s="203"/>
      <c r="E1493" s="203"/>
      <c r="F1493" s="203"/>
    </row>
    <row r="1494" spans="1:6">
      <c r="A1494" s="204"/>
      <c r="B1494" s="203"/>
      <c r="C1494" s="203"/>
      <c r="D1494" s="203"/>
      <c r="E1494" s="203"/>
      <c r="F1494" s="203"/>
    </row>
    <row r="1495" spans="1:6">
      <c r="A1495" s="204"/>
      <c r="B1495" s="203"/>
      <c r="C1495" s="203"/>
      <c r="D1495" s="203"/>
      <c r="E1495" s="203"/>
      <c r="F1495" s="203"/>
    </row>
    <row r="1496" spans="1:6">
      <c r="A1496" s="204"/>
      <c r="B1496" s="203"/>
      <c r="C1496" s="203"/>
      <c r="D1496" s="203"/>
      <c r="E1496" s="203"/>
      <c r="F1496" s="203"/>
    </row>
    <row r="1497" spans="1:6">
      <c r="A1497" s="204"/>
      <c r="B1497" s="203"/>
      <c r="C1497" s="203"/>
      <c r="D1497" s="203"/>
      <c r="E1497" s="203"/>
      <c r="F1497" s="203"/>
    </row>
    <row r="1498" spans="1:6">
      <c r="A1498" s="204"/>
      <c r="B1498" s="203"/>
      <c r="C1498" s="203"/>
      <c r="D1498" s="203"/>
      <c r="E1498" s="203"/>
      <c r="F1498" s="203"/>
    </row>
    <row r="1499" spans="1:6">
      <c r="A1499" s="204"/>
      <c r="B1499" s="203"/>
      <c r="C1499" s="203"/>
      <c r="D1499" s="203"/>
      <c r="E1499" s="203"/>
      <c r="F1499" s="203"/>
    </row>
    <row r="1500" spans="1:6">
      <c r="A1500" s="204"/>
      <c r="B1500" s="203"/>
      <c r="C1500" s="203"/>
      <c r="D1500" s="203"/>
      <c r="E1500" s="203"/>
      <c r="F1500" s="203"/>
    </row>
    <row r="1501" spans="1:6">
      <c r="A1501" s="204"/>
      <c r="B1501" s="203"/>
      <c r="C1501" s="203"/>
      <c r="D1501" s="203"/>
      <c r="E1501" s="203"/>
      <c r="F1501" s="203"/>
    </row>
    <row r="1502" spans="1:6">
      <c r="A1502" s="204"/>
      <c r="B1502" s="203"/>
      <c r="C1502" s="203"/>
      <c r="D1502" s="203"/>
      <c r="E1502" s="203"/>
      <c r="F1502" s="203"/>
    </row>
    <row r="1503" spans="1:6">
      <c r="A1503" s="204"/>
      <c r="B1503" s="203"/>
      <c r="C1503" s="203"/>
      <c r="D1503" s="203"/>
      <c r="E1503" s="203"/>
      <c r="F1503" s="203"/>
    </row>
    <row r="1504" spans="1:6">
      <c r="A1504" s="204"/>
      <c r="B1504" s="203"/>
      <c r="C1504" s="203"/>
      <c r="D1504" s="203"/>
      <c r="E1504" s="203"/>
      <c r="F1504" s="203"/>
    </row>
    <row r="1505" spans="1:6">
      <c r="A1505" s="204"/>
      <c r="B1505" s="203"/>
      <c r="C1505" s="203"/>
      <c r="D1505" s="203"/>
      <c r="E1505" s="203"/>
      <c r="F1505" s="203"/>
    </row>
    <row r="1506" spans="1:6">
      <c r="A1506" s="204"/>
      <c r="B1506" s="203"/>
      <c r="C1506" s="203"/>
      <c r="D1506" s="203"/>
      <c r="E1506" s="203"/>
      <c r="F1506" s="203"/>
    </row>
    <row r="1507" spans="1:6">
      <c r="A1507" s="204"/>
      <c r="B1507" s="203"/>
      <c r="C1507" s="203"/>
      <c r="D1507" s="203"/>
      <c r="E1507" s="203"/>
      <c r="F1507" s="203"/>
    </row>
    <row r="1508" spans="1:6">
      <c r="A1508" s="204"/>
      <c r="B1508" s="203"/>
      <c r="C1508" s="203"/>
      <c r="D1508" s="203"/>
      <c r="E1508" s="203"/>
      <c r="F1508" s="203"/>
    </row>
    <row r="1509" spans="1:6">
      <c r="A1509" s="204"/>
      <c r="B1509" s="203"/>
      <c r="C1509" s="203"/>
      <c r="D1509" s="203"/>
      <c r="E1509" s="203"/>
      <c r="F1509" s="203"/>
    </row>
    <row r="1510" spans="1:6">
      <c r="A1510" s="204"/>
      <c r="B1510" s="203"/>
      <c r="C1510" s="203"/>
      <c r="D1510" s="203"/>
      <c r="E1510" s="203"/>
      <c r="F1510" s="203"/>
    </row>
    <row r="1511" spans="1:6">
      <c r="A1511" s="204"/>
      <c r="B1511" s="203"/>
      <c r="C1511" s="203"/>
      <c r="D1511" s="203"/>
      <c r="E1511" s="203"/>
      <c r="F1511" s="203"/>
    </row>
    <row r="1512" spans="1:6">
      <c r="A1512" s="204"/>
      <c r="B1512" s="203"/>
      <c r="C1512" s="203"/>
      <c r="D1512" s="203"/>
      <c r="E1512" s="203"/>
      <c r="F1512" s="203"/>
    </row>
    <row r="1513" spans="1:6">
      <c r="A1513" s="204"/>
      <c r="B1513" s="203"/>
      <c r="C1513" s="203"/>
      <c r="D1513" s="203"/>
      <c r="E1513" s="203"/>
      <c r="F1513" s="203"/>
    </row>
    <row r="1514" spans="1:6">
      <c r="A1514" s="204"/>
      <c r="B1514" s="203"/>
      <c r="C1514" s="203"/>
      <c r="D1514" s="203"/>
      <c r="E1514" s="203"/>
      <c r="F1514" s="203"/>
    </row>
    <row r="1515" spans="1:6">
      <c r="A1515" s="204"/>
      <c r="B1515" s="203"/>
      <c r="C1515" s="203"/>
      <c r="D1515" s="203"/>
      <c r="E1515" s="203"/>
      <c r="F1515" s="203"/>
    </row>
    <row r="1516" spans="1:6">
      <c r="A1516" s="204"/>
      <c r="B1516" s="203"/>
      <c r="C1516" s="203"/>
      <c r="D1516" s="203"/>
      <c r="E1516" s="203"/>
      <c r="F1516" s="203"/>
    </row>
    <row r="1517" spans="1:6">
      <c r="A1517" s="204"/>
      <c r="B1517" s="203"/>
      <c r="C1517" s="203"/>
      <c r="D1517" s="203"/>
      <c r="E1517" s="203"/>
      <c r="F1517" s="203"/>
    </row>
    <row r="1518" spans="1:6">
      <c r="A1518" s="204"/>
      <c r="B1518" s="203"/>
      <c r="C1518" s="203"/>
      <c r="D1518" s="203"/>
      <c r="E1518" s="203"/>
      <c r="F1518" s="203"/>
    </row>
    <row r="1519" spans="1:6">
      <c r="A1519" s="204"/>
      <c r="B1519" s="203"/>
      <c r="C1519" s="203"/>
      <c r="D1519" s="203"/>
      <c r="E1519" s="203"/>
      <c r="F1519" s="203"/>
    </row>
    <row r="1520" spans="1:6">
      <c r="A1520" s="204"/>
      <c r="B1520" s="203"/>
      <c r="C1520" s="203"/>
      <c r="D1520" s="203"/>
      <c r="E1520" s="203"/>
      <c r="F1520" s="203"/>
    </row>
    <row r="1521" spans="1:6">
      <c r="A1521" s="204"/>
      <c r="B1521" s="203"/>
      <c r="C1521" s="203"/>
      <c r="D1521" s="203"/>
      <c r="E1521" s="203"/>
      <c r="F1521" s="203"/>
    </row>
    <row r="1522" spans="1:6">
      <c r="A1522" s="204"/>
      <c r="B1522" s="203"/>
      <c r="C1522" s="203"/>
      <c r="D1522" s="203"/>
      <c r="E1522" s="203"/>
      <c r="F1522" s="203"/>
    </row>
    <row r="1523" spans="1:6">
      <c r="A1523" s="204"/>
      <c r="B1523" s="203"/>
      <c r="C1523" s="203"/>
      <c r="D1523" s="203"/>
      <c r="E1523" s="203"/>
      <c r="F1523" s="203"/>
    </row>
    <row r="1524" spans="1:6">
      <c r="A1524" s="204"/>
      <c r="B1524" s="203"/>
      <c r="C1524" s="203"/>
      <c r="D1524" s="203"/>
      <c r="E1524" s="203"/>
      <c r="F1524" s="203"/>
    </row>
    <row r="1525" spans="1:6">
      <c r="A1525" s="204"/>
      <c r="B1525" s="203"/>
      <c r="C1525" s="203"/>
      <c r="D1525" s="203"/>
      <c r="E1525" s="203"/>
      <c r="F1525" s="203"/>
    </row>
    <row r="1526" spans="1:6">
      <c r="A1526" s="204"/>
      <c r="B1526" s="203"/>
      <c r="C1526" s="203"/>
      <c r="D1526" s="203"/>
      <c r="E1526" s="203"/>
      <c r="F1526" s="203"/>
    </row>
    <row r="1527" spans="1:6">
      <c r="A1527" s="204"/>
      <c r="B1527" s="203"/>
      <c r="C1527" s="203"/>
      <c r="D1527" s="203"/>
      <c r="E1527" s="203"/>
      <c r="F1527" s="203"/>
    </row>
    <row r="1528" spans="1:6">
      <c r="A1528" s="204"/>
      <c r="B1528" s="203"/>
      <c r="C1528" s="203"/>
      <c r="D1528" s="203"/>
      <c r="E1528" s="203"/>
      <c r="F1528" s="203"/>
    </row>
    <row r="1529" spans="1:6">
      <c r="A1529" s="204"/>
      <c r="B1529" s="203"/>
      <c r="C1529" s="203"/>
      <c r="D1529" s="203"/>
      <c r="E1529" s="203"/>
      <c r="F1529" s="203"/>
    </row>
    <row r="1530" spans="1:6">
      <c r="A1530" s="204"/>
      <c r="B1530" s="203"/>
      <c r="C1530" s="203"/>
      <c r="D1530" s="203"/>
      <c r="E1530" s="203"/>
      <c r="F1530" s="203"/>
    </row>
    <row r="1531" spans="1:6">
      <c r="A1531" s="204"/>
      <c r="B1531" s="203"/>
      <c r="C1531" s="203"/>
      <c r="D1531" s="203"/>
      <c r="E1531" s="203"/>
      <c r="F1531" s="203"/>
    </row>
    <row r="1532" spans="1:6">
      <c r="A1532" s="204"/>
      <c r="B1532" s="203"/>
      <c r="C1532" s="203"/>
      <c r="D1532" s="203"/>
      <c r="E1532" s="203"/>
      <c r="F1532" s="203"/>
    </row>
    <row r="1533" spans="1:6">
      <c r="A1533" s="204"/>
      <c r="B1533" s="203"/>
      <c r="C1533" s="203"/>
      <c r="D1533" s="203"/>
      <c r="E1533" s="203"/>
      <c r="F1533" s="203"/>
    </row>
    <row r="1534" spans="1:6">
      <c r="A1534" s="204"/>
      <c r="B1534" s="203"/>
      <c r="C1534" s="203"/>
      <c r="D1534" s="203"/>
      <c r="E1534" s="203"/>
      <c r="F1534" s="203"/>
    </row>
    <row r="1535" spans="1:6">
      <c r="A1535" s="204"/>
      <c r="B1535" s="203"/>
      <c r="C1535" s="203"/>
      <c r="D1535" s="203"/>
      <c r="E1535" s="203"/>
      <c r="F1535" s="203"/>
    </row>
    <row r="1536" spans="1:6">
      <c r="A1536" s="204"/>
      <c r="B1536" s="203"/>
      <c r="C1536" s="203"/>
      <c r="D1536" s="203"/>
      <c r="E1536" s="203"/>
      <c r="F1536" s="203"/>
    </row>
    <row r="1537" spans="1:6">
      <c r="A1537" s="204"/>
      <c r="B1537" s="203"/>
      <c r="C1537" s="203"/>
      <c r="D1537" s="203"/>
      <c r="E1537" s="203"/>
      <c r="F1537" s="203"/>
    </row>
    <row r="1538" spans="1:6">
      <c r="A1538" s="204"/>
      <c r="B1538" s="203"/>
      <c r="C1538" s="203"/>
      <c r="D1538" s="203"/>
      <c r="E1538" s="203"/>
      <c r="F1538" s="203"/>
    </row>
    <row r="1539" spans="1:6">
      <c r="A1539" s="204"/>
      <c r="B1539" s="203"/>
      <c r="C1539" s="203"/>
      <c r="D1539" s="203"/>
      <c r="E1539" s="203"/>
      <c r="F1539" s="203"/>
    </row>
    <row r="1540" spans="1:6">
      <c r="A1540" s="204"/>
      <c r="B1540" s="203"/>
      <c r="C1540" s="203"/>
      <c r="D1540" s="203"/>
      <c r="E1540" s="203"/>
      <c r="F1540" s="203"/>
    </row>
    <row r="1541" spans="1:6">
      <c r="A1541" s="204"/>
      <c r="B1541" s="203"/>
      <c r="C1541" s="203"/>
      <c r="D1541" s="203"/>
      <c r="E1541" s="203"/>
      <c r="F1541" s="203"/>
    </row>
    <row r="1542" spans="1:6">
      <c r="A1542" s="204"/>
      <c r="B1542" s="203"/>
      <c r="C1542" s="203"/>
      <c r="D1542" s="203"/>
      <c r="E1542" s="203"/>
      <c r="F1542" s="203"/>
    </row>
    <row r="1543" spans="1:6">
      <c r="A1543" s="204"/>
      <c r="B1543" s="203"/>
      <c r="C1543" s="203"/>
      <c r="D1543" s="203"/>
      <c r="E1543" s="203"/>
      <c r="F1543" s="203"/>
    </row>
    <row r="1544" spans="1:6">
      <c r="A1544" s="204"/>
      <c r="B1544" s="203"/>
      <c r="C1544" s="203"/>
      <c r="D1544" s="203"/>
      <c r="E1544" s="203"/>
      <c r="F1544" s="203"/>
    </row>
    <row r="1545" spans="1:6">
      <c r="A1545" s="204"/>
      <c r="B1545" s="203"/>
      <c r="C1545" s="203"/>
      <c r="D1545" s="203"/>
      <c r="E1545" s="203"/>
      <c r="F1545" s="203"/>
    </row>
    <row r="1546" spans="1:6">
      <c r="A1546" s="204"/>
      <c r="B1546" s="203"/>
      <c r="C1546" s="203"/>
      <c r="D1546" s="203"/>
      <c r="E1546" s="203"/>
      <c r="F1546" s="203"/>
    </row>
    <row r="1547" spans="1:6">
      <c r="A1547" s="204"/>
      <c r="B1547" s="203"/>
      <c r="C1547" s="203"/>
      <c r="D1547" s="203"/>
      <c r="E1547" s="203"/>
      <c r="F1547" s="203"/>
    </row>
    <row r="1548" spans="1:6">
      <c r="A1548" s="204"/>
      <c r="B1548" s="203"/>
      <c r="C1548" s="203"/>
      <c r="D1548" s="203"/>
      <c r="E1548" s="203"/>
      <c r="F1548" s="203"/>
    </row>
    <row r="1549" spans="1:6">
      <c r="A1549" s="204"/>
      <c r="B1549" s="203"/>
      <c r="C1549" s="203"/>
      <c r="D1549" s="203"/>
      <c r="E1549" s="203"/>
      <c r="F1549" s="203"/>
    </row>
    <row r="1550" spans="1:6">
      <c r="A1550" s="204"/>
      <c r="B1550" s="203"/>
      <c r="C1550" s="203"/>
      <c r="D1550" s="203"/>
      <c r="E1550" s="203"/>
      <c r="F1550" s="203"/>
    </row>
    <row r="1551" spans="1:6">
      <c r="A1551" s="204"/>
      <c r="B1551" s="203"/>
      <c r="C1551" s="203"/>
      <c r="D1551" s="203"/>
      <c r="E1551" s="203"/>
      <c r="F1551" s="203"/>
    </row>
    <row r="1552" spans="1:6">
      <c r="A1552" s="204"/>
      <c r="B1552" s="203"/>
      <c r="C1552" s="203"/>
      <c r="D1552" s="203"/>
      <c r="E1552" s="203"/>
      <c r="F1552" s="203"/>
    </row>
    <row r="1553" spans="1:6">
      <c r="A1553" s="204"/>
      <c r="B1553" s="203"/>
      <c r="C1553" s="203"/>
      <c r="D1553" s="203"/>
      <c r="E1553" s="203"/>
      <c r="F1553" s="203"/>
    </row>
    <row r="1554" spans="1:6">
      <c r="A1554" s="204"/>
      <c r="B1554" s="203"/>
      <c r="C1554" s="203"/>
      <c r="D1554" s="203"/>
      <c r="E1554" s="203"/>
      <c r="F1554" s="203"/>
    </row>
    <row r="1555" spans="1:6">
      <c r="A1555" s="204"/>
      <c r="B1555" s="203"/>
      <c r="C1555" s="203"/>
      <c r="D1555" s="203"/>
      <c r="E1555" s="203"/>
      <c r="F1555" s="203"/>
    </row>
    <row r="1556" spans="1:6">
      <c r="A1556" s="204"/>
      <c r="B1556" s="203"/>
      <c r="C1556" s="203"/>
      <c r="D1556" s="203"/>
      <c r="E1556" s="203"/>
      <c r="F1556" s="203"/>
    </row>
    <row r="1557" spans="1:6">
      <c r="A1557" s="204"/>
      <c r="B1557" s="203"/>
      <c r="C1557" s="203"/>
      <c r="D1557" s="203"/>
      <c r="E1557" s="203"/>
      <c r="F1557" s="203"/>
    </row>
    <row r="1558" spans="1:6">
      <c r="A1558" s="204"/>
      <c r="B1558" s="203"/>
      <c r="C1558" s="203"/>
      <c r="D1558" s="203"/>
      <c r="E1558" s="203"/>
      <c r="F1558" s="203"/>
    </row>
    <row r="1559" spans="1:6">
      <c r="A1559" s="204"/>
      <c r="B1559" s="203"/>
      <c r="C1559" s="203"/>
      <c r="D1559" s="203"/>
      <c r="E1559" s="203"/>
      <c r="F1559" s="203"/>
    </row>
    <row r="1560" spans="1:6">
      <c r="A1560" s="204"/>
      <c r="B1560" s="203"/>
      <c r="C1560" s="203"/>
      <c r="D1560" s="203"/>
      <c r="E1560" s="203"/>
      <c r="F1560" s="203"/>
    </row>
    <row r="1561" spans="1:6">
      <c r="A1561" s="204"/>
      <c r="B1561" s="203"/>
      <c r="C1561" s="203"/>
      <c r="D1561" s="203"/>
      <c r="E1561" s="203"/>
      <c r="F1561" s="203"/>
    </row>
    <row r="1562" spans="1:6">
      <c r="A1562" s="204"/>
      <c r="B1562" s="203"/>
      <c r="C1562" s="203"/>
      <c r="D1562" s="203"/>
      <c r="E1562" s="203"/>
      <c r="F1562" s="203"/>
    </row>
    <row r="1563" spans="1:6">
      <c r="A1563" s="204"/>
      <c r="B1563" s="203"/>
      <c r="C1563" s="203"/>
      <c r="D1563" s="203"/>
      <c r="E1563" s="203"/>
      <c r="F1563" s="203"/>
    </row>
    <row r="1564" spans="1:6">
      <c r="A1564" s="204"/>
      <c r="B1564" s="203"/>
      <c r="C1564" s="203"/>
      <c r="D1564" s="203"/>
      <c r="E1564" s="203"/>
      <c r="F1564" s="203"/>
    </row>
    <row r="1565" spans="1:6">
      <c r="A1565" s="204"/>
      <c r="B1565" s="203"/>
      <c r="C1565" s="203"/>
      <c r="D1565" s="203"/>
      <c r="E1565" s="203"/>
      <c r="F1565" s="203"/>
    </row>
    <row r="1566" spans="1:6">
      <c r="A1566" s="204"/>
      <c r="B1566" s="203"/>
      <c r="C1566" s="203"/>
      <c r="D1566" s="203"/>
      <c r="E1566" s="203"/>
      <c r="F1566" s="203"/>
    </row>
    <row r="1567" spans="1:6">
      <c r="A1567" s="204"/>
      <c r="B1567" s="203"/>
      <c r="C1567" s="203"/>
      <c r="D1567" s="203"/>
      <c r="E1567" s="203"/>
      <c r="F1567" s="203"/>
    </row>
    <row r="1568" spans="1:6">
      <c r="A1568" s="204"/>
      <c r="B1568" s="203"/>
      <c r="C1568" s="203"/>
      <c r="D1568" s="203"/>
      <c r="E1568" s="203"/>
      <c r="F1568" s="203"/>
    </row>
    <row r="1569" spans="1:6">
      <c r="A1569" s="204"/>
      <c r="B1569" s="203"/>
      <c r="C1569" s="203"/>
      <c r="D1569" s="203"/>
      <c r="E1569" s="203"/>
      <c r="F1569" s="203"/>
    </row>
    <row r="1570" spans="1:6">
      <c r="A1570" s="204"/>
      <c r="B1570" s="203"/>
      <c r="C1570" s="203"/>
      <c r="D1570" s="203"/>
      <c r="E1570" s="203"/>
      <c r="F1570" s="203"/>
    </row>
    <row r="1571" spans="1:6">
      <c r="A1571" s="204"/>
      <c r="B1571" s="203"/>
      <c r="C1571" s="203"/>
      <c r="D1571" s="203"/>
      <c r="E1571" s="203"/>
      <c r="F1571" s="203"/>
    </row>
    <row r="1572" spans="1:6">
      <c r="A1572" s="204"/>
      <c r="B1572" s="203"/>
      <c r="C1572" s="203"/>
      <c r="D1572" s="203"/>
      <c r="E1572" s="203"/>
      <c r="F1572" s="203"/>
    </row>
    <row r="1573" spans="1:6">
      <c r="A1573" s="204"/>
      <c r="B1573" s="203"/>
      <c r="C1573" s="203"/>
      <c r="D1573" s="203"/>
      <c r="E1573" s="203"/>
      <c r="F1573" s="203"/>
    </row>
    <row r="1574" spans="1:6">
      <c r="A1574" s="204"/>
      <c r="B1574" s="203"/>
      <c r="C1574" s="203"/>
      <c r="D1574" s="203"/>
      <c r="E1574" s="203"/>
      <c r="F1574" s="203"/>
    </row>
    <row r="1575" spans="1:6">
      <c r="A1575" s="204"/>
      <c r="B1575" s="203"/>
      <c r="C1575" s="203"/>
      <c r="D1575" s="203"/>
      <c r="E1575" s="203"/>
      <c r="F1575" s="203"/>
    </row>
    <row r="1576" spans="1:6">
      <c r="A1576" s="204"/>
      <c r="B1576" s="203"/>
      <c r="C1576" s="203"/>
      <c r="D1576" s="203"/>
      <c r="E1576" s="203"/>
      <c r="F1576" s="203"/>
    </row>
    <row r="1577" spans="1:6">
      <c r="A1577" s="204"/>
      <c r="B1577" s="203"/>
      <c r="C1577" s="203"/>
      <c r="D1577" s="203"/>
      <c r="E1577" s="203"/>
      <c r="F1577" s="203"/>
    </row>
    <row r="1578" spans="1:6">
      <c r="A1578" s="204"/>
      <c r="B1578" s="203"/>
      <c r="C1578" s="203"/>
      <c r="D1578" s="203"/>
      <c r="E1578" s="203"/>
      <c r="F1578" s="203"/>
    </row>
    <row r="1579" spans="1:6">
      <c r="A1579" s="204"/>
      <c r="B1579" s="203"/>
      <c r="C1579" s="203"/>
      <c r="D1579" s="203"/>
      <c r="E1579" s="203"/>
      <c r="F1579" s="203"/>
    </row>
    <row r="1580" spans="1:6">
      <c r="A1580" s="204"/>
      <c r="B1580" s="203"/>
      <c r="C1580" s="203"/>
      <c r="D1580" s="203"/>
      <c r="E1580" s="203"/>
      <c r="F1580" s="203"/>
    </row>
    <row r="1581" spans="1:6">
      <c r="A1581" s="204"/>
      <c r="B1581" s="203"/>
      <c r="C1581" s="203"/>
      <c r="D1581" s="203"/>
      <c r="E1581" s="203"/>
      <c r="F1581" s="203"/>
    </row>
    <row r="1582" spans="1:6">
      <c r="A1582" s="204"/>
      <c r="B1582" s="203"/>
      <c r="C1582" s="203"/>
      <c r="D1582" s="203"/>
      <c r="E1582" s="203"/>
      <c r="F1582" s="203"/>
    </row>
    <row r="1583" spans="1:6">
      <c r="A1583" s="204"/>
      <c r="B1583" s="203"/>
      <c r="C1583" s="203"/>
      <c r="D1583" s="203"/>
      <c r="E1583" s="203"/>
      <c r="F1583" s="203"/>
    </row>
    <row r="1584" spans="1:6">
      <c r="A1584" s="204"/>
      <c r="B1584" s="203"/>
      <c r="C1584" s="203"/>
      <c r="D1584" s="203"/>
      <c r="E1584" s="203"/>
      <c r="F1584" s="203"/>
    </row>
    <row r="1585" spans="1:6">
      <c r="A1585" s="204"/>
      <c r="B1585" s="203"/>
      <c r="C1585" s="203"/>
      <c r="D1585" s="203"/>
      <c r="E1585" s="203"/>
      <c r="F1585" s="203"/>
    </row>
    <row r="1586" spans="1:6">
      <c r="A1586" s="204"/>
      <c r="B1586" s="203"/>
      <c r="C1586" s="203"/>
      <c r="D1586" s="203"/>
      <c r="E1586" s="203"/>
      <c r="F1586" s="203"/>
    </row>
    <row r="1587" spans="1:6">
      <c r="A1587" s="204"/>
      <c r="B1587" s="203"/>
      <c r="C1587" s="203"/>
      <c r="D1587" s="203"/>
      <c r="E1587" s="203"/>
      <c r="F1587" s="203"/>
    </row>
    <row r="1588" spans="1:6">
      <c r="A1588" s="204"/>
      <c r="B1588" s="203"/>
      <c r="C1588" s="203"/>
      <c r="D1588" s="203"/>
      <c r="E1588" s="203"/>
      <c r="F1588" s="203"/>
    </row>
    <row r="1589" spans="1:6">
      <c r="A1589" s="204"/>
      <c r="B1589" s="203"/>
      <c r="C1589" s="203"/>
      <c r="D1589" s="203"/>
      <c r="E1589" s="203"/>
      <c r="F1589" s="203"/>
    </row>
    <row r="1590" spans="1:6">
      <c r="A1590" s="204"/>
      <c r="B1590" s="203"/>
      <c r="C1590" s="203"/>
      <c r="D1590" s="203"/>
      <c r="E1590" s="203"/>
      <c r="F1590" s="203"/>
    </row>
    <row r="1591" spans="1:6">
      <c r="A1591" s="204"/>
      <c r="B1591" s="203"/>
      <c r="C1591" s="203"/>
      <c r="D1591" s="203"/>
      <c r="E1591" s="203"/>
      <c r="F1591" s="203"/>
    </row>
    <row r="1592" spans="1:6">
      <c r="A1592" s="204"/>
      <c r="B1592" s="203"/>
      <c r="C1592" s="203"/>
      <c r="D1592" s="203"/>
      <c r="E1592" s="203"/>
      <c r="F1592" s="203"/>
    </row>
    <row r="1593" spans="1:6">
      <c r="A1593" s="204"/>
      <c r="B1593" s="203"/>
      <c r="C1593" s="203"/>
      <c r="D1593" s="203"/>
      <c r="E1593" s="203"/>
      <c r="F1593" s="203"/>
    </row>
    <row r="1594" spans="1:6">
      <c r="A1594" s="204"/>
      <c r="B1594" s="203"/>
      <c r="C1594" s="203"/>
      <c r="D1594" s="203"/>
      <c r="E1594" s="203"/>
      <c r="F1594" s="203"/>
    </row>
    <row r="1595" spans="1:6">
      <c r="A1595" s="204"/>
      <c r="B1595" s="203"/>
      <c r="C1595" s="203"/>
      <c r="D1595" s="203"/>
      <c r="E1595" s="203"/>
      <c r="F1595" s="203"/>
    </row>
    <row r="1596" spans="1:6">
      <c r="A1596" s="204"/>
      <c r="B1596" s="203"/>
      <c r="C1596" s="203"/>
      <c r="D1596" s="203"/>
      <c r="E1596" s="203"/>
      <c r="F1596" s="203"/>
    </row>
    <row r="1597" spans="1:6">
      <c r="A1597" s="204"/>
      <c r="B1597" s="203"/>
      <c r="C1597" s="203"/>
      <c r="D1597" s="203"/>
      <c r="E1597" s="203"/>
      <c r="F1597" s="203"/>
    </row>
    <row r="1598" spans="1:6">
      <c r="A1598" s="204"/>
      <c r="B1598" s="203"/>
      <c r="C1598" s="203"/>
      <c r="D1598" s="203"/>
      <c r="E1598" s="203"/>
      <c r="F1598" s="203"/>
    </row>
    <row r="1599" spans="1:6">
      <c r="A1599" s="204"/>
      <c r="B1599" s="203"/>
      <c r="C1599" s="203"/>
      <c r="D1599" s="203"/>
      <c r="E1599" s="203"/>
      <c r="F1599" s="203"/>
    </row>
    <row r="1600" spans="1:6">
      <c r="A1600" s="204"/>
      <c r="B1600" s="203"/>
      <c r="C1600" s="203"/>
      <c r="D1600" s="203"/>
      <c r="E1600" s="203"/>
      <c r="F1600" s="203"/>
    </row>
    <row r="1601" spans="1:6">
      <c r="A1601" s="204"/>
      <c r="B1601" s="203"/>
      <c r="C1601" s="203"/>
      <c r="D1601" s="203"/>
      <c r="E1601" s="203"/>
      <c r="F1601" s="203"/>
    </row>
    <row r="1602" spans="1:6">
      <c r="A1602" s="204"/>
      <c r="B1602" s="203"/>
      <c r="C1602" s="203"/>
      <c r="D1602" s="203"/>
      <c r="E1602" s="203"/>
      <c r="F1602" s="203"/>
    </row>
    <row r="1603" spans="1:6">
      <c r="A1603" s="204"/>
      <c r="B1603" s="203"/>
      <c r="C1603" s="203"/>
      <c r="D1603" s="203"/>
      <c r="E1603" s="203"/>
      <c r="F1603" s="203"/>
    </row>
    <row r="1604" spans="1:6">
      <c r="A1604" s="204"/>
      <c r="B1604" s="203"/>
      <c r="C1604" s="203"/>
      <c r="D1604" s="203"/>
      <c r="E1604" s="203"/>
      <c r="F1604" s="203"/>
    </row>
    <row r="1605" spans="1:6">
      <c r="A1605" s="204"/>
      <c r="B1605" s="203"/>
      <c r="C1605" s="203"/>
      <c r="D1605" s="203"/>
      <c r="E1605" s="203"/>
      <c r="F1605" s="203"/>
    </row>
    <row r="1606" spans="1:6">
      <c r="A1606" s="204"/>
      <c r="B1606" s="203"/>
      <c r="C1606" s="203"/>
      <c r="D1606" s="203"/>
      <c r="E1606" s="203"/>
      <c r="F1606" s="203"/>
    </row>
    <row r="1607" spans="1:6">
      <c r="A1607" s="204"/>
      <c r="B1607" s="203"/>
      <c r="C1607" s="203"/>
      <c r="D1607" s="203"/>
      <c r="E1607" s="203"/>
      <c r="F1607" s="203"/>
    </row>
    <row r="1608" spans="1:6">
      <c r="A1608" s="204"/>
      <c r="B1608" s="203"/>
      <c r="C1608" s="203"/>
      <c r="D1608" s="203"/>
      <c r="E1608" s="203"/>
      <c r="F1608" s="203"/>
    </row>
    <row r="1609" spans="1:6">
      <c r="A1609" s="204"/>
      <c r="B1609" s="203"/>
      <c r="C1609" s="203"/>
      <c r="D1609" s="203"/>
      <c r="E1609" s="203"/>
      <c r="F1609" s="203"/>
    </row>
    <row r="1610" spans="1:6">
      <c r="A1610" s="204"/>
      <c r="B1610" s="203"/>
      <c r="C1610" s="203"/>
      <c r="D1610" s="203"/>
      <c r="E1610" s="203"/>
      <c r="F1610" s="203"/>
    </row>
    <row r="1611" spans="1:6">
      <c r="A1611" s="204"/>
      <c r="B1611" s="203"/>
      <c r="C1611" s="203"/>
      <c r="D1611" s="203"/>
      <c r="E1611" s="203"/>
      <c r="F1611" s="203"/>
    </row>
    <row r="1612" spans="1:6">
      <c r="A1612" s="204"/>
      <c r="B1612" s="203"/>
      <c r="C1612" s="203"/>
      <c r="D1612" s="203"/>
      <c r="E1612" s="203"/>
      <c r="F1612" s="203"/>
    </row>
    <row r="1613" spans="1:6">
      <c r="A1613" s="204"/>
      <c r="B1613" s="203"/>
      <c r="C1613" s="203"/>
      <c r="D1613" s="203"/>
      <c r="E1613" s="203"/>
      <c r="F1613" s="203"/>
    </row>
    <row r="1614" spans="1:6">
      <c r="A1614" s="204"/>
      <c r="B1614" s="203"/>
      <c r="C1614" s="203"/>
      <c r="D1614" s="203"/>
      <c r="E1614" s="203"/>
      <c r="F1614" s="203"/>
    </row>
    <row r="1615" spans="1:6">
      <c r="A1615" s="204"/>
      <c r="B1615" s="203"/>
      <c r="C1615" s="203"/>
      <c r="D1615" s="203"/>
      <c r="E1615" s="203"/>
      <c r="F1615" s="203"/>
    </row>
    <row r="1616" spans="1:6">
      <c r="A1616" s="204"/>
      <c r="B1616" s="203"/>
      <c r="C1616" s="203"/>
      <c r="D1616" s="203"/>
      <c r="E1616" s="203"/>
      <c r="F1616" s="203"/>
    </row>
    <row r="1617" spans="1:6">
      <c r="A1617" s="204"/>
      <c r="B1617" s="203"/>
      <c r="C1617" s="203"/>
      <c r="D1617" s="203"/>
      <c r="E1617" s="203"/>
      <c r="F1617" s="203"/>
    </row>
    <row r="1618" spans="1:6">
      <c r="A1618" s="204"/>
      <c r="B1618" s="203"/>
      <c r="C1618" s="203"/>
      <c r="D1618" s="203"/>
      <c r="E1618" s="203"/>
      <c r="F1618" s="203"/>
    </row>
    <row r="1619" spans="1:6">
      <c r="A1619" s="204"/>
      <c r="B1619" s="203"/>
      <c r="C1619" s="203"/>
      <c r="D1619" s="203"/>
      <c r="E1619" s="203"/>
      <c r="F1619" s="203"/>
    </row>
    <row r="1620" spans="1:6">
      <c r="A1620" s="204"/>
      <c r="B1620" s="203"/>
      <c r="C1620" s="203"/>
      <c r="D1620" s="203"/>
      <c r="E1620" s="203"/>
      <c r="F1620" s="203"/>
    </row>
    <row r="1621" spans="1:6">
      <c r="A1621" s="204"/>
      <c r="B1621" s="203"/>
      <c r="C1621" s="203"/>
      <c r="D1621" s="203"/>
      <c r="E1621" s="203"/>
      <c r="F1621" s="203"/>
    </row>
    <row r="1622" spans="1:6">
      <c r="A1622" s="204"/>
      <c r="B1622" s="203"/>
      <c r="C1622" s="203"/>
      <c r="D1622" s="203"/>
      <c r="E1622" s="203"/>
      <c r="F1622" s="203"/>
    </row>
    <row r="1623" spans="1:6">
      <c r="A1623" s="204"/>
      <c r="B1623" s="203"/>
      <c r="C1623" s="203"/>
      <c r="D1623" s="203"/>
      <c r="E1623" s="203"/>
      <c r="F1623" s="203"/>
    </row>
    <row r="1624" spans="1:6">
      <c r="A1624" s="204"/>
      <c r="B1624" s="203"/>
      <c r="C1624" s="203"/>
      <c r="D1624" s="203"/>
      <c r="E1624" s="203"/>
      <c r="F1624" s="203"/>
    </row>
    <row r="1625" spans="1:6">
      <c r="A1625" s="204"/>
      <c r="B1625" s="203"/>
      <c r="C1625" s="203"/>
      <c r="D1625" s="203"/>
      <c r="E1625" s="203"/>
      <c r="F1625" s="203"/>
    </row>
    <row r="1626" spans="1:6">
      <c r="A1626" s="204"/>
      <c r="B1626" s="203"/>
      <c r="C1626" s="203"/>
      <c r="D1626" s="203"/>
      <c r="E1626" s="203"/>
      <c r="F1626" s="203"/>
    </row>
    <row r="1627" spans="1:6">
      <c r="A1627" s="204"/>
      <c r="B1627" s="203"/>
      <c r="C1627" s="203"/>
      <c r="D1627" s="203"/>
      <c r="E1627" s="203"/>
      <c r="F1627" s="203"/>
    </row>
    <row r="1628" spans="1:6">
      <c r="A1628" s="204"/>
      <c r="B1628" s="203"/>
      <c r="C1628" s="203"/>
      <c r="D1628" s="203"/>
      <c r="E1628" s="203"/>
      <c r="F1628" s="203"/>
    </row>
    <row r="1629" spans="1:6">
      <c r="A1629" s="204"/>
      <c r="B1629" s="203"/>
      <c r="C1629" s="203"/>
      <c r="D1629" s="203"/>
      <c r="E1629" s="203"/>
      <c r="F1629" s="203"/>
    </row>
    <row r="1630" spans="1:6">
      <c r="A1630" s="204"/>
      <c r="B1630" s="203"/>
      <c r="C1630" s="203"/>
      <c r="D1630" s="203"/>
      <c r="E1630" s="203"/>
      <c r="F1630" s="203"/>
    </row>
    <row r="1631" spans="1:6">
      <c r="A1631" s="204"/>
      <c r="B1631" s="203"/>
      <c r="C1631" s="203"/>
      <c r="D1631" s="203"/>
      <c r="E1631" s="203"/>
      <c r="F1631" s="203"/>
    </row>
    <row r="1632" spans="1:6">
      <c r="A1632" s="204"/>
      <c r="B1632" s="203"/>
      <c r="C1632" s="203"/>
      <c r="D1632" s="203"/>
      <c r="E1632" s="203"/>
      <c r="F1632" s="203"/>
    </row>
    <row r="1633" spans="1:6">
      <c r="A1633" s="204"/>
      <c r="B1633" s="203"/>
      <c r="C1633" s="203"/>
      <c r="D1633" s="203"/>
      <c r="E1633" s="203"/>
      <c r="F1633" s="203"/>
    </row>
    <row r="1634" spans="1:6">
      <c r="A1634" s="204"/>
      <c r="B1634" s="203"/>
      <c r="C1634" s="203"/>
      <c r="D1634" s="203"/>
      <c r="E1634" s="203"/>
      <c r="F1634" s="203"/>
    </row>
    <row r="1635" spans="1:6">
      <c r="A1635" s="204"/>
      <c r="B1635" s="203"/>
      <c r="C1635" s="203"/>
      <c r="D1635" s="203"/>
      <c r="E1635" s="203"/>
      <c r="F1635" s="203"/>
    </row>
    <row r="1636" spans="1:6">
      <c r="A1636" s="204"/>
      <c r="B1636" s="203"/>
      <c r="C1636" s="203"/>
      <c r="D1636" s="203"/>
      <c r="E1636" s="203"/>
      <c r="F1636" s="203"/>
    </row>
    <row r="1637" spans="1:6">
      <c r="A1637" s="204"/>
      <c r="B1637" s="203"/>
      <c r="C1637" s="203"/>
      <c r="D1637" s="203"/>
      <c r="E1637" s="203"/>
      <c r="F1637" s="203"/>
    </row>
    <row r="1638" spans="1:6">
      <c r="A1638" s="204"/>
      <c r="B1638" s="203"/>
      <c r="C1638" s="203"/>
      <c r="D1638" s="203"/>
      <c r="E1638" s="203"/>
      <c r="F1638" s="203"/>
    </row>
    <row r="1639" spans="1:6">
      <c r="A1639" s="204"/>
      <c r="B1639" s="203"/>
      <c r="C1639" s="203"/>
      <c r="D1639" s="203"/>
      <c r="E1639" s="203"/>
      <c r="F1639" s="203"/>
    </row>
    <row r="1640" spans="1:6">
      <c r="A1640" s="204"/>
      <c r="B1640" s="203"/>
      <c r="C1640" s="203"/>
      <c r="D1640" s="203"/>
      <c r="E1640" s="203"/>
      <c r="F1640" s="203"/>
    </row>
    <row r="1641" spans="1:6">
      <c r="A1641" s="204"/>
      <c r="B1641" s="203"/>
      <c r="C1641" s="203"/>
      <c r="D1641" s="203"/>
      <c r="E1641" s="203"/>
      <c r="F1641" s="203"/>
    </row>
    <row r="1642" spans="1:6">
      <c r="A1642" s="204"/>
      <c r="B1642" s="203"/>
      <c r="C1642" s="203"/>
      <c r="D1642" s="203"/>
      <c r="E1642" s="203"/>
      <c r="F1642" s="203"/>
    </row>
    <row r="1643" spans="1:6">
      <c r="A1643" s="204"/>
      <c r="B1643" s="203"/>
      <c r="C1643" s="203"/>
      <c r="D1643" s="203"/>
      <c r="E1643" s="203"/>
      <c r="F1643" s="203"/>
    </row>
    <row r="1644" spans="1:6">
      <c r="A1644" s="204"/>
      <c r="B1644" s="203"/>
      <c r="C1644" s="203"/>
      <c r="D1644" s="203"/>
      <c r="E1644" s="203"/>
      <c r="F1644" s="203"/>
    </row>
    <row r="1645" spans="1:6">
      <c r="A1645" s="204"/>
      <c r="B1645" s="203"/>
      <c r="C1645" s="203"/>
      <c r="D1645" s="203"/>
      <c r="E1645" s="203"/>
      <c r="F1645" s="203"/>
    </row>
    <row r="1646" spans="1:6">
      <c r="A1646" s="204"/>
      <c r="B1646" s="203"/>
      <c r="C1646" s="203"/>
      <c r="D1646" s="203"/>
      <c r="E1646" s="203"/>
      <c r="F1646" s="203"/>
    </row>
    <row r="1647" spans="1:6">
      <c r="A1647" s="204"/>
      <c r="B1647" s="203"/>
      <c r="C1647" s="203"/>
      <c r="D1647" s="203"/>
      <c r="E1647" s="203"/>
      <c r="F1647" s="203"/>
    </row>
    <row r="1648" spans="1:6">
      <c r="A1648" s="204"/>
      <c r="B1648" s="203"/>
      <c r="C1648" s="203"/>
      <c r="D1648" s="203"/>
      <c r="E1648" s="203"/>
      <c r="F1648" s="203"/>
    </row>
    <row r="1649" spans="1:6">
      <c r="A1649" s="204"/>
      <c r="B1649" s="203"/>
      <c r="C1649" s="203"/>
      <c r="D1649" s="203"/>
      <c r="E1649" s="203"/>
      <c r="F1649" s="203"/>
    </row>
    <row r="1650" spans="1:6">
      <c r="A1650" s="204"/>
      <c r="B1650" s="203"/>
      <c r="C1650" s="203"/>
      <c r="D1650" s="203"/>
      <c r="E1650" s="203"/>
      <c r="F1650" s="203"/>
    </row>
    <row r="1651" spans="1:6">
      <c r="A1651" s="204"/>
      <c r="B1651" s="203"/>
      <c r="C1651" s="203"/>
      <c r="D1651" s="203"/>
      <c r="E1651" s="203"/>
      <c r="F1651" s="203"/>
    </row>
    <row r="1652" spans="1:6">
      <c r="A1652" s="204"/>
      <c r="B1652" s="203"/>
      <c r="C1652" s="203"/>
      <c r="D1652" s="203"/>
      <c r="E1652" s="203"/>
      <c r="F1652" s="203"/>
    </row>
    <row r="1653" spans="1:6">
      <c r="A1653" s="204"/>
      <c r="B1653" s="203"/>
      <c r="C1653" s="203"/>
      <c r="D1653" s="203"/>
      <c r="E1653" s="203"/>
      <c r="F1653" s="203"/>
    </row>
    <row r="1654" spans="1:6">
      <c r="A1654" s="204"/>
      <c r="B1654" s="203"/>
      <c r="C1654" s="203"/>
      <c r="D1654" s="203"/>
      <c r="E1654" s="203"/>
      <c r="F1654" s="203"/>
    </row>
    <row r="1655" spans="1:6">
      <c r="A1655" s="204"/>
      <c r="B1655" s="203"/>
      <c r="C1655" s="203"/>
      <c r="D1655" s="203"/>
      <c r="E1655" s="203"/>
      <c r="F1655" s="203"/>
    </row>
    <row r="1656" spans="1:6">
      <c r="A1656" s="204"/>
      <c r="B1656" s="203"/>
      <c r="C1656" s="203"/>
      <c r="D1656" s="203"/>
      <c r="E1656" s="203"/>
      <c r="F1656" s="203"/>
    </row>
    <row r="1657" spans="1:6">
      <c r="A1657" s="204"/>
      <c r="B1657" s="203"/>
      <c r="C1657" s="203"/>
      <c r="D1657" s="203"/>
      <c r="E1657" s="203"/>
      <c r="F1657" s="203"/>
    </row>
    <row r="1658" spans="1:6">
      <c r="A1658" s="204"/>
      <c r="B1658" s="203"/>
      <c r="C1658" s="203"/>
      <c r="D1658" s="203"/>
      <c r="E1658" s="203"/>
      <c r="F1658" s="203"/>
    </row>
    <row r="1659" spans="1:6">
      <c r="A1659" s="204"/>
      <c r="B1659" s="203"/>
      <c r="C1659" s="203"/>
      <c r="D1659" s="203"/>
      <c r="E1659" s="203"/>
      <c r="F1659" s="203"/>
    </row>
    <row r="1660" spans="1:6">
      <c r="A1660" s="204"/>
      <c r="B1660" s="203"/>
      <c r="C1660" s="203"/>
      <c r="D1660" s="203"/>
      <c r="E1660" s="203"/>
      <c r="F1660" s="203"/>
    </row>
    <row r="1661" spans="1:6">
      <c r="A1661" s="204"/>
      <c r="B1661" s="203"/>
      <c r="C1661" s="203"/>
      <c r="D1661" s="203"/>
      <c r="E1661" s="203"/>
      <c r="F1661" s="203"/>
    </row>
    <row r="1662" spans="1:6">
      <c r="A1662" s="204"/>
      <c r="B1662" s="203"/>
      <c r="C1662" s="203"/>
      <c r="D1662" s="203"/>
      <c r="E1662" s="203"/>
      <c r="F1662" s="203"/>
    </row>
    <row r="1663" spans="1:6">
      <c r="A1663" s="204"/>
      <c r="B1663" s="203"/>
      <c r="C1663" s="203"/>
      <c r="D1663" s="203"/>
      <c r="E1663" s="203"/>
      <c r="F1663" s="203"/>
    </row>
    <row r="1664" spans="1:6">
      <c r="A1664" s="204"/>
      <c r="B1664" s="203"/>
      <c r="C1664" s="203"/>
      <c r="D1664" s="203"/>
      <c r="E1664" s="203"/>
      <c r="F1664" s="203"/>
    </row>
    <row r="1665" spans="1:6">
      <c r="A1665" s="204"/>
      <c r="B1665" s="203"/>
      <c r="C1665" s="203"/>
      <c r="D1665" s="203"/>
      <c r="E1665" s="203"/>
      <c r="F1665" s="203"/>
    </row>
    <row r="1666" spans="1:6">
      <c r="A1666" s="204"/>
      <c r="B1666" s="203"/>
      <c r="C1666" s="203"/>
      <c r="D1666" s="203"/>
      <c r="E1666" s="203"/>
      <c r="F1666" s="203"/>
    </row>
    <row r="1667" spans="1:6">
      <c r="A1667" s="204"/>
      <c r="B1667" s="203"/>
      <c r="C1667" s="203"/>
      <c r="D1667" s="203"/>
      <c r="E1667" s="203"/>
      <c r="F1667" s="203"/>
    </row>
    <row r="1668" spans="1:6">
      <c r="A1668" s="204"/>
      <c r="B1668" s="203"/>
      <c r="C1668" s="203"/>
      <c r="D1668" s="203"/>
      <c r="E1668" s="203"/>
      <c r="F1668" s="203"/>
    </row>
    <row r="1669" spans="1:6">
      <c r="A1669" s="204"/>
      <c r="B1669" s="203"/>
      <c r="C1669" s="203"/>
      <c r="D1669" s="203"/>
      <c r="E1669" s="203"/>
      <c r="F1669" s="203"/>
    </row>
    <row r="1670" spans="1:6">
      <c r="A1670" s="204"/>
      <c r="B1670" s="203"/>
      <c r="C1670" s="203"/>
      <c r="D1670" s="203"/>
      <c r="E1670" s="203"/>
      <c r="F1670" s="203"/>
    </row>
    <row r="1671" spans="1:6">
      <c r="A1671" s="204"/>
      <c r="B1671" s="203"/>
      <c r="C1671" s="203"/>
      <c r="D1671" s="203"/>
      <c r="E1671" s="203"/>
      <c r="F1671" s="203"/>
    </row>
    <row r="1672" spans="1:6">
      <c r="A1672" s="204"/>
      <c r="B1672" s="203"/>
      <c r="C1672" s="203"/>
      <c r="D1672" s="203"/>
      <c r="E1672" s="203"/>
      <c r="F1672" s="203"/>
    </row>
    <row r="1673" spans="1:6">
      <c r="A1673" s="204"/>
      <c r="B1673" s="203"/>
      <c r="C1673" s="203"/>
      <c r="D1673" s="203"/>
      <c r="E1673" s="203"/>
      <c r="F1673" s="203"/>
    </row>
    <row r="1674" spans="1:6">
      <c r="A1674" s="204"/>
      <c r="B1674" s="203"/>
      <c r="C1674" s="203"/>
      <c r="D1674" s="203"/>
      <c r="E1674" s="203"/>
      <c r="F1674" s="203"/>
    </row>
    <row r="1675" spans="1:6">
      <c r="A1675" s="204"/>
      <c r="B1675" s="203"/>
      <c r="C1675" s="203"/>
      <c r="D1675" s="203"/>
      <c r="E1675" s="203"/>
      <c r="F1675" s="203"/>
    </row>
    <row r="1676" spans="1:6">
      <c r="A1676" s="204"/>
      <c r="B1676" s="203"/>
      <c r="C1676" s="203"/>
      <c r="D1676" s="203"/>
      <c r="E1676" s="203"/>
      <c r="F1676" s="203"/>
    </row>
    <row r="1677" spans="1:6">
      <c r="A1677" s="204"/>
      <c r="B1677" s="203"/>
      <c r="C1677" s="203"/>
      <c r="D1677" s="203"/>
      <c r="E1677" s="203"/>
      <c r="F1677" s="203"/>
    </row>
    <row r="1678" spans="1:6">
      <c r="A1678" s="204"/>
      <c r="B1678" s="203"/>
      <c r="C1678" s="203"/>
      <c r="D1678" s="203"/>
      <c r="E1678" s="203"/>
      <c r="F1678" s="203"/>
    </row>
    <row r="1679" spans="1:6">
      <c r="A1679" s="204"/>
      <c r="B1679" s="203"/>
      <c r="C1679" s="203"/>
      <c r="D1679" s="203"/>
      <c r="E1679" s="203"/>
      <c r="F1679" s="203"/>
    </row>
    <row r="1680" spans="1:6">
      <c r="A1680" s="204"/>
      <c r="B1680" s="203"/>
      <c r="C1680" s="203"/>
      <c r="D1680" s="203"/>
      <c r="E1680" s="203"/>
      <c r="F1680" s="203"/>
    </row>
    <row r="1681" spans="1:6">
      <c r="A1681" s="204"/>
      <c r="B1681" s="203"/>
      <c r="C1681" s="203"/>
      <c r="D1681" s="203"/>
      <c r="E1681" s="203"/>
      <c r="F1681" s="203"/>
    </row>
    <row r="1682" spans="1:6">
      <c r="A1682" s="204"/>
      <c r="B1682" s="203"/>
      <c r="C1682" s="203"/>
      <c r="D1682" s="203"/>
      <c r="E1682" s="203"/>
      <c r="F1682" s="203"/>
    </row>
    <row r="1683" spans="1:6">
      <c r="A1683" s="204"/>
      <c r="B1683" s="203"/>
      <c r="C1683" s="203"/>
      <c r="D1683" s="203"/>
      <c r="E1683" s="203"/>
      <c r="F1683" s="203"/>
    </row>
    <row r="1684" spans="1:6">
      <c r="A1684" s="204"/>
      <c r="B1684" s="203"/>
      <c r="C1684" s="203"/>
      <c r="D1684" s="203"/>
      <c r="E1684" s="203"/>
      <c r="F1684" s="203"/>
    </row>
    <row r="1685" spans="1:6">
      <c r="A1685" s="204"/>
      <c r="B1685" s="203"/>
      <c r="C1685" s="203"/>
      <c r="D1685" s="203"/>
      <c r="E1685" s="203"/>
      <c r="F1685" s="203"/>
    </row>
    <row r="1686" spans="1:6">
      <c r="A1686" s="204"/>
      <c r="B1686" s="203"/>
      <c r="C1686" s="203"/>
      <c r="D1686" s="203"/>
      <c r="E1686" s="203"/>
      <c r="F1686" s="203"/>
    </row>
    <row r="1687" spans="1:6">
      <c r="A1687" s="204"/>
      <c r="B1687" s="203"/>
      <c r="C1687" s="203"/>
      <c r="D1687" s="203"/>
      <c r="E1687" s="203"/>
      <c r="F1687" s="203"/>
    </row>
    <row r="1688" spans="1:6">
      <c r="A1688" s="204"/>
      <c r="B1688" s="203"/>
      <c r="C1688" s="203"/>
      <c r="D1688" s="203"/>
      <c r="E1688" s="203"/>
      <c r="F1688" s="203"/>
    </row>
    <row r="1689" spans="1:6">
      <c r="A1689" s="204"/>
      <c r="B1689" s="203"/>
      <c r="C1689" s="203"/>
      <c r="D1689" s="203"/>
      <c r="E1689" s="203"/>
      <c r="F1689" s="203"/>
    </row>
    <row r="1690" spans="1:6">
      <c r="A1690" s="204"/>
      <c r="B1690" s="203"/>
      <c r="C1690" s="203"/>
      <c r="D1690" s="203"/>
      <c r="E1690" s="203"/>
      <c r="F1690" s="203"/>
    </row>
    <row r="1691" spans="1:6">
      <c r="A1691" s="204"/>
      <c r="B1691" s="203"/>
      <c r="C1691" s="203"/>
      <c r="D1691" s="203"/>
      <c r="E1691" s="203"/>
      <c r="F1691" s="203"/>
    </row>
    <row r="1692" spans="1:6">
      <c r="A1692" s="204"/>
      <c r="B1692" s="203"/>
      <c r="C1692" s="203"/>
      <c r="D1692" s="203"/>
      <c r="E1692" s="203"/>
      <c r="F1692" s="203"/>
    </row>
    <row r="1693" spans="1:6">
      <c r="A1693" s="204"/>
      <c r="B1693" s="203"/>
      <c r="C1693" s="203"/>
      <c r="D1693" s="203"/>
      <c r="E1693" s="203"/>
      <c r="F1693" s="203"/>
    </row>
    <row r="1694" spans="1:6">
      <c r="A1694" s="204"/>
      <c r="B1694" s="203"/>
      <c r="C1694" s="203"/>
      <c r="D1694" s="203"/>
      <c r="E1694" s="203"/>
      <c r="F1694" s="203"/>
    </row>
    <row r="1695" spans="1:6">
      <c r="A1695" s="204"/>
      <c r="B1695" s="203"/>
      <c r="C1695" s="203"/>
      <c r="D1695" s="203"/>
      <c r="E1695" s="203"/>
      <c r="F1695" s="203"/>
    </row>
    <row r="1696" spans="1:6">
      <c r="A1696" s="204"/>
      <c r="B1696" s="203"/>
      <c r="C1696" s="203"/>
      <c r="D1696" s="203"/>
      <c r="E1696" s="203"/>
      <c r="F1696" s="203"/>
    </row>
    <row r="1697" spans="1:6">
      <c r="A1697" s="204"/>
      <c r="B1697" s="203"/>
      <c r="C1697" s="203"/>
      <c r="D1697" s="203"/>
      <c r="E1697" s="203"/>
      <c r="F1697" s="203"/>
    </row>
    <row r="1698" spans="1:6">
      <c r="A1698" s="204"/>
      <c r="B1698" s="203"/>
      <c r="C1698" s="203"/>
      <c r="D1698" s="203"/>
      <c r="E1698" s="203"/>
      <c r="F1698" s="203"/>
    </row>
    <row r="1699" spans="1:6">
      <c r="A1699" s="204"/>
      <c r="B1699" s="203"/>
      <c r="C1699" s="203"/>
      <c r="D1699" s="203"/>
      <c r="E1699" s="203"/>
      <c r="F1699" s="203"/>
    </row>
    <row r="1700" spans="1:6">
      <c r="A1700" s="204"/>
      <c r="B1700" s="203"/>
      <c r="C1700" s="203"/>
      <c r="D1700" s="203"/>
      <c r="E1700" s="203"/>
      <c r="F1700" s="203"/>
    </row>
    <row r="1701" spans="1:6">
      <c r="A1701" s="204"/>
      <c r="B1701" s="203"/>
      <c r="C1701" s="203"/>
      <c r="D1701" s="203"/>
      <c r="E1701" s="203"/>
      <c r="F1701" s="203"/>
    </row>
    <row r="1702" spans="1:6">
      <c r="A1702" s="204"/>
      <c r="B1702" s="203"/>
      <c r="C1702" s="203"/>
      <c r="D1702" s="203"/>
      <c r="E1702" s="203"/>
      <c r="F1702" s="203"/>
    </row>
    <row r="1703" spans="1:6">
      <c r="A1703" s="204"/>
      <c r="B1703" s="203"/>
      <c r="C1703" s="203"/>
      <c r="D1703" s="203"/>
      <c r="E1703" s="203"/>
      <c r="F1703" s="203"/>
    </row>
    <row r="1704" spans="1:6">
      <c r="A1704" s="204"/>
      <c r="B1704" s="203"/>
      <c r="C1704" s="203"/>
      <c r="D1704" s="203"/>
      <c r="E1704" s="203"/>
      <c r="F1704" s="203"/>
    </row>
    <row r="1705" spans="1:6">
      <c r="A1705" s="204"/>
      <c r="B1705" s="203"/>
      <c r="C1705" s="203"/>
      <c r="D1705" s="203"/>
      <c r="E1705" s="203"/>
      <c r="F1705" s="203"/>
    </row>
    <row r="1706" spans="1:6">
      <c r="A1706" s="204"/>
      <c r="B1706" s="203"/>
      <c r="C1706" s="203"/>
      <c r="D1706" s="203"/>
      <c r="E1706" s="203"/>
      <c r="F1706" s="203"/>
    </row>
    <row r="1707" spans="1:6">
      <c r="A1707" s="204"/>
      <c r="B1707" s="203"/>
      <c r="C1707" s="203"/>
      <c r="D1707" s="203"/>
      <c r="E1707" s="203"/>
      <c r="F1707" s="203"/>
    </row>
    <row r="1708" spans="1:6">
      <c r="A1708" s="204"/>
      <c r="B1708" s="203"/>
      <c r="C1708" s="203"/>
      <c r="D1708" s="203"/>
      <c r="E1708" s="203"/>
      <c r="F1708" s="203"/>
    </row>
    <row r="1709" spans="1:6">
      <c r="A1709" s="204"/>
      <c r="B1709" s="203"/>
      <c r="C1709" s="203"/>
      <c r="D1709" s="203"/>
      <c r="E1709" s="203"/>
      <c r="F1709" s="203"/>
    </row>
    <row r="1710" spans="1:6">
      <c r="A1710" s="204"/>
      <c r="B1710" s="203"/>
      <c r="C1710" s="203"/>
      <c r="D1710" s="203"/>
      <c r="E1710" s="203"/>
      <c r="F1710" s="203"/>
    </row>
    <row r="1711" spans="1:6">
      <c r="A1711" s="204"/>
      <c r="B1711" s="203"/>
      <c r="C1711" s="203"/>
      <c r="D1711" s="203"/>
      <c r="E1711" s="203"/>
      <c r="F1711" s="203"/>
    </row>
    <row r="1712" spans="1:6">
      <c r="A1712" s="204"/>
      <c r="B1712" s="203"/>
      <c r="C1712" s="203"/>
      <c r="D1712" s="203"/>
      <c r="E1712" s="203"/>
      <c r="F1712" s="203"/>
    </row>
    <row r="1713" spans="1:6">
      <c r="A1713" s="204"/>
      <c r="B1713" s="203"/>
      <c r="C1713" s="203"/>
      <c r="D1713" s="203"/>
      <c r="E1713" s="203"/>
      <c r="F1713" s="203"/>
    </row>
    <row r="1714" spans="1:6">
      <c r="A1714" s="204"/>
      <c r="B1714" s="203"/>
      <c r="C1714" s="203"/>
      <c r="D1714" s="203"/>
      <c r="E1714" s="203"/>
      <c r="F1714" s="203"/>
    </row>
    <row r="1715" spans="1:6">
      <c r="A1715" s="204"/>
      <c r="B1715" s="203"/>
      <c r="C1715" s="203"/>
      <c r="D1715" s="203"/>
      <c r="E1715" s="203"/>
      <c r="F1715" s="203"/>
    </row>
    <row r="1716" spans="1:6">
      <c r="A1716" s="204"/>
      <c r="B1716" s="203"/>
      <c r="C1716" s="203"/>
      <c r="D1716" s="203"/>
      <c r="E1716" s="203"/>
      <c r="F1716" s="203"/>
    </row>
    <row r="1717" spans="1:6">
      <c r="A1717" s="204"/>
      <c r="B1717" s="203"/>
      <c r="C1717" s="203"/>
      <c r="D1717" s="203"/>
      <c r="E1717" s="203"/>
      <c r="F1717" s="203"/>
    </row>
    <row r="1718" spans="1:6">
      <c r="A1718" s="204"/>
      <c r="B1718" s="203"/>
      <c r="C1718" s="203"/>
      <c r="D1718" s="203"/>
      <c r="E1718" s="203"/>
      <c r="F1718" s="203"/>
    </row>
    <row r="1719" spans="1:6">
      <c r="A1719" s="204"/>
      <c r="B1719" s="203"/>
      <c r="C1719" s="203"/>
      <c r="D1719" s="203"/>
      <c r="E1719" s="203"/>
      <c r="F1719" s="203"/>
    </row>
    <row r="1720" spans="1:6">
      <c r="A1720" s="204"/>
      <c r="B1720" s="203"/>
      <c r="C1720" s="203"/>
      <c r="D1720" s="203"/>
      <c r="E1720" s="203"/>
      <c r="F1720" s="203"/>
    </row>
    <row r="1721" spans="1:6">
      <c r="A1721" s="204"/>
      <c r="B1721" s="203"/>
      <c r="C1721" s="203"/>
      <c r="D1721" s="203"/>
      <c r="E1721" s="203"/>
      <c r="F1721" s="203"/>
    </row>
    <row r="1722" spans="1:6">
      <c r="A1722" s="204"/>
      <c r="B1722" s="203"/>
      <c r="C1722" s="203"/>
      <c r="D1722" s="203"/>
      <c r="E1722" s="203"/>
      <c r="F1722" s="203"/>
    </row>
    <row r="1723" spans="1:6">
      <c r="A1723" s="204"/>
      <c r="B1723" s="203"/>
      <c r="C1723" s="203"/>
      <c r="D1723" s="203"/>
      <c r="E1723" s="203"/>
      <c r="F1723" s="203"/>
    </row>
    <row r="1724" spans="1:6">
      <c r="A1724" s="204"/>
      <c r="B1724" s="203"/>
      <c r="C1724" s="203"/>
      <c r="D1724" s="203"/>
      <c r="E1724" s="203"/>
      <c r="F1724" s="203"/>
    </row>
    <row r="1725" spans="1:6">
      <c r="A1725" s="204"/>
      <c r="B1725" s="203"/>
      <c r="C1725" s="203"/>
      <c r="D1725" s="203"/>
      <c r="E1725" s="203"/>
      <c r="F1725" s="203"/>
    </row>
    <row r="1726" spans="1:6">
      <c r="A1726" s="204"/>
      <c r="B1726" s="203"/>
      <c r="C1726" s="203"/>
      <c r="D1726" s="203"/>
      <c r="E1726" s="203"/>
      <c r="F1726" s="203"/>
    </row>
    <row r="1727" spans="1:6">
      <c r="A1727" s="204"/>
      <c r="B1727" s="203"/>
      <c r="C1727" s="203"/>
      <c r="D1727" s="203"/>
      <c r="E1727" s="203"/>
      <c r="F1727" s="203"/>
    </row>
    <row r="1728" spans="1:6">
      <c r="A1728" s="204"/>
      <c r="B1728" s="203"/>
      <c r="C1728" s="203"/>
      <c r="D1728" s="203"/>
      <c r="E1728" s="203"/>
      <c r="F1728" s="203"/>
    </row>
    <row r="1729" spans="1:6">
      <c r="A1729" s="204"/>
      <c r="B1729" s="203"/>
      <c r="C1729" s="203"/>
      <c r="D1729" s="203"/>
      <c r="E1729" s="203"/>
      <c r="F1729" s="203"/>
    </row>
    <row r="1730" spans="1:6">
      <c r="A1730" s="204"/>
      <c r="B1730" s="203"/>
      <c r="C1730" s="203"/>
      <c r="D1730" s="203"/>
      <c r="E1730" s="203"/>
      <c r="F1730" s="203"/>
    </row>
    <row r="1731" spans="1:6">
      <c r="A1731" s="204"/>
      <c r="B1731" s="203"/>
      <c r="C1731" s="203"/>
      <c r="D1731" s="203"/>
      <c r="E1731" s="203"/>
      <c r="F1731" s="203"/>
    </row>
    <row r="1732" spans="1:6">
      <c r="A1732" s="204"/>
      <c r="B1732" s="203"/>
      <c r="C1732" s="203"/>
      <c r="D1732" s="203"/>
      <c r="E1732" s="203"/>
      <c r="F1732" s="203"/>
    </row>
    <row r="1733" spans="1:6">
      <c r="A1733" s="204"/>
      <c r="B1733" s="203"/>
      <c r="C1733" s="203"/>
      <c r="D1733" s="203"/>
      <c r="E1733" s="203"/>
      <c r="F1733" s="203"/>
    </row>
    <row r="1734" spans="1:6">
      <c r="A1734" s="204"/>
      <c r="B1734" s="203"/>
      <c r="C1734" s="203"/>
      <c r="D1734" s="203"/>
      <c r="E1734" s="203"/>
      <c r="F1734" s="203"/>
    </row>
    <row r="1735" spans="1:6">
      <c r="A1735" s="204"/>
      <c r="B1735" s="203"/>
      <c r="C1735" s="203"/>
      <c r="D1735" s="203"/>
      <c r="E1735" s="203"/>
      <c r="F1735" s="203"/>
    </row>
    <row r="1736" spans="1:6">
      <c r="A1736" s="204"/>
      <c r="B1736" s="203"/>
      <c r="C1736" s="203"/>
      <c r="D1736" s="203"/>
      <c r="E1736" s="203"/>
      <c r="F1736" s="203"/>
    </row>
    <row r="1737" spans="1:6">
      <c r="A1737" s="204"/>
      <c r="B1737" s="203"/>
      <c r="C1737" s="203"/>
      <c r="D1737" s="203"/>
      <c r="E1737" s="203"/>
      <c r="F1737" s="203"/>
    </row>
    <row r="1738" spans="1:6">
      <c r="A1738" s="204"/>
      <c r="B1738" s="203"/>
      <c r="C1738" s="203"/>
      <c r="D1738" s="203"/>
      <c r="E1738" s="203"/>
      <c r="F1738" s="203"/>
    </row>
    <row r="1739" spans="1:6">
      <c r="A1739" s="204"/>
      <c r="B1739" s="203"/>
      <c r="C1739" s="203"/>
      <c r="D1739" s="203"/>
      <c r="E1739" s="203"/>
      <c r="F1739" s="203"/>
    </row>
    <row r="1740" spans="1:6">
      <c r="A1740" s="204"/>
      <c r="B1740" s="203"/>
      <c r="C1740" s="203"/>
      <c r="D1740" s="203"/>
      <c r="E1740" s="203"/>
      <c r="F1740" s="203"/>
    </row>
    <row r="1741" spans="1:6">
      <c r="A1741" s="204"/>
      <c r="B1741" s="203"/>
      <c r="C1741" s="203"/>
      <c r="D1741" s="203"/>
      <c r="E1741" s="203"/>
      <c r="F1741" s="203"/>
    </row>
    <row r="1742" spans="1:6">
      <c r="A1742" s="204"/>
      <c r="B1742" s="203"/>
      <c r="C1742" s="203"/>
      <c r="D1742" s="203"/>
      <c r="E1742" s="203"/>
      <c r="F1742" s="203"/>
    </row>
    <row r="1743" spans="1:6">
      <c r="A1743" s="204"/>
      <c r="B1743" s="203"/>
      <c r="C1743" s="203"/>
      <c r="D1743" s="203"/>
      <c r="E1743" s="203"/>
      <c r="F1743" s="203"/>
    </row>
    <row r="1744" spans="1:6">
      <c r="A1744" s="204"/>
      <c r="B1744" s="203"/>
      <c r="C1744" s="203"/>
      <c r="D1744" s="203"/>
      <c r="E1744" s="203"/>
      <c r="F1744" s="203"/>
    </row>
    <row r="1745" spans="1:6">
      <c r="A1745" s="204"/>
      <c r="B1745" s="203"/>
      <c r="C1745" s="203"/>
      <c r="D1745" s="203"/>
      <c r="E1745" s="203"/>
      <c r="F1745" s="203"/>
    </row>
    <row r="1746" spans="1:6">
      <c r="A1746" s="204"/>
      <c r="B1746" s="203"/>
      <c r="C1746" s="203"/>
      <c r="D1746" s="203"/>
      <c r="E1746" s="203"/>
      <c r="F1746" s="203"/>
    </row>
    <row r="1747" spans="1:6">
      <c r="A1747" s="204"/>
      <c r="B1747" s="203"/>
      <c r="C1747" s="203"/>
      <c r="D1747" s="203"/>
      <c r="E1747" s="203"/>
      <c r="F1747" s="203"/>
    </row>
    <row r="1748" spans="1:6">
      <c r="A1748" s="204"/>
      <c r="B1748" s="203"/>
      <c r="C1748" s="203"/>
      <c r="D1748" s="203"/>
      <c r="E1748" s="203"/>
      <c r="F1748" s="203"/>
    </row>
    <row r="1749" spans="1:6">
      <c r="A1749" s="204"/>
      <c r="B1749" s="203"/>
      <c r="C1749" s="203"/>
      <c r="D1749" s="203"/>
      <c r="E1749" s="203"/>
      <c r="F1749" s="203"/>
    </row>
    <row r="1750" spans="1:6">
      <c r="A1750" s="204"/>
      <c r="B1750" s="203"/>
      <c r="C1750" s="203"/>
      <c r="D1750" s="203"/>
      <c r="E1750" s="203"/>
      <c r="F1750" s="203"/>
    </row>
    <row r="1751" spans="1:6">
      <c r="A1751" s="204"/>
      <c r="B1751" s="203"/>
      <c r="C1751" s="203"/>
      <c r="D1751" s="203"/>
      <c r="E1751" s="203"/>
      <c r="F1751" s="203"/>
    </row>
    <row r="1752" spans="1:6">
      <c r="A1752" s="204"/>
      <c r="B1752" s="203"/>
      <c r="C1752" s="203"/>
      <c r="D1752" s="203"/>
      <c r="E1752" s="203"/>
      <c r="F1752" s="203"/>
    </row>
    <row r="1753" spans="1:6">
      <c r="A1753" s="204"/>
      <c r="B1753" s="203"/>
      <c r="C1753" s="203"/>
      <c r="D1753" s="203"/>
      <c r="E1753" s="203"/>
      <c r="F1753" s="203"/>
    </row>
    <row r="1754" spans="1:6">
      <c r="A1754" s="204"/>
      <c r="B1754" s="203"/>
      <c r="C1754" s="203"/>
      <c r="D1754" s="203"/>
      <c r="E1754" s="203"/>
      <c r="F1754" s="203"/>
    </row>
    <row r="1755" spans="1:6">
      <c r="A1755" s="204"/>
      <c r="B1755" s="203"/>
      <c r="C1755" s="203"/>
      <c r="D1755" s="203"/>
      <c r="E1755" s="203"/>
      <c r="F1755" s="203"/>
    </row>
    <row r="1756" spans="1:6">
      <c r="A1756" s="204"/>
      <c r="B1756" s="203"/>
      <c r="C1756" s="203"/>
      <c r="D1756" s="203"/>
      <c r="E1756" s="203"/>
      <c r="F1756" s="203"/>
    </row>
  </sheetData>
  <mergeCells count="1">
    <mergeCell ref="A1:I1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Favorit</vt:lpstr>
      <vt:lpstr>KBA </vt:lpstr>
      <vt:lpstr>praktika</vt:lpstr>
      <vt:lpstr>печатный</vt:lpstr>
      <vt:lpstr>категория</vt:lpstr>
      <vt:lpstr>Лист3</vt:lpstr>
      <vt:lpstr>Лист4</vt:lpstr>
    </vt:vector>
  </TitlesOfParts>
  <Company>Krokoz™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swatcom</dc:creator>
  <cp:lastModifiedBy>Любовь Черныш</cp:lastModifiedBy>
  <dcterms:created xsi:type="dcterms:W3CDTF">2019-05-02T12:01:11Z</dcterms:created>
  <dcterms:modified xsi:type="dcterms:W3CDTF">2021-07-13T09:31:18Z</dcterms:modified>
</cp:coreProperties>
</file>