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C:\Users\Speersy\Documents\Coursework\Biochem\"/>
    </mc:Choice>
  </mc:AlternateContent>
  <xr:revisionPtr revIDLastSave="0" documentId="13_ncr:1_{75CF6EF1-BFB1-425D-8DB4-F5F1F9964806}" xr6:coauthVersionLast="45" xr6:coauthVersionMax="45" xr10:uidLastSave="{00000000-0000-0000-0000-000000000000}"/>
  <bookViews>
    <workbookView xWindow="-120" yWindow="-120" windowWidth="29040" windowHeight="15840" activeTab="1" xr2:uid="{00000000-000D-0000-FFFF-FFFF00000000}"/>
  </bookViews>
  <sheets>
    <sheet name="Homescreen" sheetId="4" r:id="rId1"/>
    <sheet name="Assignments" sheetId="1" r:id="rId2"/>
    <sheet name="Sheet2" sheetId="2" r:id="rId3"/>
    <sheet name="Sheet3" sheetId="3" r:id="rId4"/>
  </sheets>
  <definedNames>
    <definedName name="CATS">Assignments!$V$7:$V$118</definedName>
    <definedName name="CCodes">Assignments!$E$7:$E$118</definedName>
    <definedName name="CMarks">Assignments!$C$7:$C$118</definedName>
    <definedName name="CWeights">Assignments!$D$7:$D$118</definedName>
    <definedName name="DWorth">Assignments!$F$7:$F$118</definedName>
    <definedName name="ECodes">Assignments!$M$7:$M$118</definedName>
    <definedName name="EDWorth">Assignments!$N$7:$N$118</definedName>
    <definedName name="EMarks">Assignments!$K$7:$K$118</definedName>
    <definedName name="EWeights">Assignments!$L$7:$L$118</definedName>
    <definedName name="Modules">Assignments!$Q$6:$AA$78</definedName>
    <definedName name="Years">Assignments!$W$7:$W$118</definedName>
    <definedName name="YearTable">Assignments!$AP$6:$AQ$10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45" i="1" l="1"/>
  <c r="AB53" i="1"/>
  <c r="Z54" i="1"/>
  <c r="Z55" i="1"/>
  <c r="Z56" i="1"/>
  <c r="Z57" i="1"/>
  <c r="Z58" i="1"/>
  <c r="Z59" i="1"/>
  <c r="Z60" i="1"/>
  <c r="Z61" i="1"/>
  <c r="Z62" i="1"/>
  <c r="Z63" i="1"/>
  <c r="Z64" i="1"/>
  <c r="Z65" i="1"/>
  <c r="Z66" i="1"/>
  <c r="Z67" i="1"/>
  <c r="Z68" i="1"/>
  <c r="Z69" i="1"/>
  <c r="Z70" i="1"/>
  <c r="Z71" i="1"/>
  <c r="Z72" i="1"/>
  <c r="Z73" i="1"/>
  <c r="Z74" i="1"/>
  <c r="Z53" i="1"/>
  <c r="AG38" i="1"/>
  <c r="AD7" i="1"/>
  <c r="AD8" i="1"/>
  <c r="AD9" i="1"/>
  <c r="AD10" i="1"/>
  <c r="AD11" i="1"/>
  <c r="AD12" i="1"/>
  <c r="AD13" i="1"/>
  <c r="AD14" i="1"/>
  <c r="AD15" i="1"/>
  <c r="V3" i="1"/>
  <c r="F9" i="1" s="1"/>
  <c r="S15" i="1"/>
  <c r="T15" i="1"/>
  <c r="X15" i="1"/>
  <c r="AH15" i="1"/>
  <c r="AM15" i="1"/>
  <c r="Z15" i="1" l="1"/>
  <c r="U15" i="1"/>
  <c r="AK15" i="1" s="1"/>
  <c r="AN15" i="1"/>
  <c r="AC10" i="1"/>
  <c r="AC11" i="1"/>
  <c r="AC9" i="1"/>
  <c r="AC8" i="1"/>
  <c r="AC7" i="1"/>
  <c r="F11" i="1"/>
  <c r="F10" i="1"/>
  <c r="AC15" i="1"/>
  <c r="F8" i="1"/>
  <c r="AC12" i="1"/>
  <c r="AC14" i="1"/>
  <c r="F7" i="1"/>
  <c r="AC13" i="1"/>
  <c r="AL15" i="1"/>
  <c r="AB15" i="1"/>
  <c r="AA15" i="1"/>
  <c r="Y15" i="1"/>
  <c r="BF21" i="1" l="1"/>
  <c r="BF23" i="1"/>
  <c r="AR8" i="1" l="1"/>
  <c r="AR9" i="1"/>
  <c r="AR10" i="1"/>
  <c r="AH8" i="1" l="1"/>
  <c r="AH9" i="1"/>
  <c r="AH10" i="1"/>
  <c r="AH11" i="1"/>
  <c r="AH12" i="1"/>
  <c r="AH13" i="1"/>
  <c r="AH14" i="1"/>
  <c r="AM8" i="1" l="1"/>
  <c r="AM10" i="1"/>
  <c r="AM11" i="1"/>
  <c r="AM12" i="1"/>
  <c r="AM13" i="1"/>
  <c r="AM14" i="1"/>
  <c r="X14" i="1" l="1"/>
  <c r="S14" i="1"/>
  <c r="T14" i="1"/>
  <c r="BF26" i="1" l="1"/>
  <c r="N7" i="1"/>
  <c r="Y14" i="1"/>
  <c r="U14" i="1"/>
  <c r="AN14" i="1" s="1"/>
  <c r="AA14" i="1"/>
  <c r="Z14" i="1"/>
  <c r="AB14" i="1" l="1"/>
  <c r="AK14" i="1"/>
  <c r="AL14" i="1"/>
  <c r="AS9" i="1"/>
  <c r="AS10" i="1"/>
  <c r="AS8" i="1"/>
  <c r="H8" i="1"/>
  <c r="H9" i="1" l="1"/>
  <c r="H7" i="1"/>
  <c r="AV6" i="1"/>
  <c r="X7" i="1" l="1"/>
  <c r="X8" i="1"/>
  <c r="X9" i="1"/>
  <c r="BF20" i="1" s="1"/>
  <c r="X10" i="1"/>
  <c r="BF24" i="1" s="1"/>
  <c r="X11" i="1"/>
  <c r="BF22" i="1" s="1"/>
  <c r="X12" i="1"/>
  <c r="X13" i="1"/>
  <c r="BF25" i="1" s="1"/>
  <c r="AV7" i="1" l="1"/>
  <c r="T8" i="1" l="1"/>
  <c r="T9" i="1"/>
  <c r="T10" i="1"/>
  <c r="T11" i="1"/>
  <c r="T12" i="1"/>
  <c r="T13" i="1"/>
  <c r="T7" i="1"/>
  <c r="S8" i="1"/>
  <c r="S9" i="1"/>
  <c r="S10" i="1"/>
  <c r="S11" i="1"/>
  <c r="S12" i="1"/>
  <c r="S13" i="1"/>
  <c r="S7" i="1"/>
  <c r="U7" i="1" l="1"/>
  <c r="Y7" i="1"/>
  <c r="U10" i="1"/>
  <c r="AN10" i="1" s="1"/>
  <c r="Y10" i="1"/>
  <c r="U13" i="1"/>
  <c r="AN13" i="1" s="1"/>
  <c r="Y13" i="1"/>
  <c r="Z13" i="1"/>
  <c r="U9" i="1"/>
  <c r="Z9" i="1"/>
  <c r="Y9" i="1"/>
  <c r="U12" i="1"/>
  <c r="AN12" i="1" s="1"/>
  <c r="Z12" i="1"/>
  <c r="Y12" i="1"/>
  <c r="U8" i="1"/>
  <c r="AN8" i="1" s="1"/>
  <c r="Y8" i="1"/>
  <c r="Z8" i="1"/>
  <c r="Z11" i="1"/>
  <c r="U11" i="1"/>
  <c r="AN11" i="1" s="1"/>
  <c r="Y11" i="1"/>
  <c r="Z10" i="1"/>
  <c r="AA7" i="1"/>
  <c r="AA11" i="1"/>
  <c r="AA10" i="1"/>
  <c r="AA13" i="1"/>
  <c r="AA9" i="1"/>
  <c r="AA12" i="1"/>
  <c r="AA8" i="1"/>
  <c r="AR7" i="1" l="1"/>
  <c r="AV8" i="1" s="1"/>
  <c r="AV9" i="1" s="1"/>
  <c r="AH7" i="1"/>
  <c r="AM7" i="1"/>
  <c r="AN7" i="1" s="1"/>
  <c r="AB9" i="1"/>
  <c r="AM9" i="1"/>
  <c r="AN9" i="1" s="1"/>
  <c r="AK9" i="1"/>
  <c r="AL9" i="1"/>
  <c r="AB11" i="1"/>
  <c r="AL11" i="1"/>
  <c r="AK11" i="1"/>
  <c r="AB8" i="1"/>
  <c r="AK8" i="1"/>
  <c r="AL8" i="1"/>
  <c r="AB12" i="1"/>
  <c r="AK12" i="1"/>
  <c r="AL12" i="1"/>
  <c r="AB10" i="1"/>
  <c r="AK10" i="1"/>
  <c r="AL10" i="1"/>
  <c r="AB13" i="1"/>
  <c r="AK13" i="1"/>
  <c r="AL13" i="1"/>
  <c r="AB7" i="1"/>
  <c r="AL7" i="1"/>
  <c r="AK7" i="1"/>
  <c r="Z7" i="1"/>
  <c r="AS7" i="1" l="1"/>
</calcChain>
</file>

<file path=xl/sharedStrings.xml><?xml version="1.0" encoding="utf-8"?>
<sst xmlns="http://schemas.openxmlformats.org/spreadsheetml/2006/main" count="95" uniqueCount="78">
  <si>
    <t>Modules</t>
  </si>
  <si>
    <t>Submissions</t>
  </si>
  <si>
    <t>Submission Title</t>
  </si>
  <si>
    <t>Mark</t>
  </si>
  <si>
    <t>Module Worth</t>
  </si>
  <si>
    <t>Date</t>
  </si>
  <si>
    <t>Module</t>
  </si>
  <si>
    <t>CS130</t>
  </si>
  <si>
    <t>CS118</t>
  </si>
  <si>
    <t>CS131</t>
  </si>
  <si>
    <t>CS132</t>
  </si>
  <si>
    <t>CS141</t>
  </si>
  <si>
    <t>CS126</t>
  </si>
  <si>
    <t>Coursework Worth</t>
  </si>
  <si>
    <t>Coursework Left</t>
  </si>
  <si>
    <t>Exam Left</t>
  </si>
  <si>
    <t>Exams</t>
  </si>
  <si>
    <t>Exam Title</t>
  </si>
  <si>
    <t>Stats</t>
  </si>
  <si>
    <t>Cumulative Avg</t>
  </si>
  <si>
    <t>CATS</t>
  </si>
  <si>
    <t>Current Weighted Average</t>
  </si>
  <si>
    <t>Average</t>
  </si>
  <si>
    <t>Years</t>
  </si>
  <si>
    <t>Year Worth</t>
  </si>
  <si>
    <t>Avg Needed Pass</t>
  </si>
  <si>
    <t>Avg Needed Goal</t>
  </si>
  <si>
    <t>Goal Mark</t>
  </si>
  <si>
    <t>DegWorth</t>
  </si>
  <si>
    <t>Year Taken</t>
  </si>
  <si>
    <t>Degree Marks</t>
  </si>
  <si>
    <t>Year Completion</t>
  </si>
  <si>
    <t>Total Done</t>
  </si>
  <si>
    <t>Best Possible</t>
  </si>
  <si>
    <t>Best Possible Degree</t>
  </si>
  <si>
    <t>Sum of module worth * mark for cswk and exams</t>
  </si>
  <si>
    <t>Weighted for cats vs total cats in year and weighted for year worth</t>
  </si>
  <si>
    <t>Average, scaled to progresss, total banked marks</t>
  </si>
  <si>
    <t>Degree Progress</t>
  </si>
  <si>
    <t>Best possible grade you could achieve this year</t>
  </si>
  <si>
    <t>To add new coursework or exam, drag down degworth and cumulative average, you also need to adjust the graph dataset to see the new coursework</t>
  </si>
  <si>
    <t>J3</t>
  </si>
  <si>
    <t>Modelling</t>
  </si>
  <si>
    <t>If I average this</t>
  </si>
  <si>
    <t>I would get</t>
  </si>
  <si>
    <t>I think I at least averaged</t>
  </si>
  <si>
    <t>At most I probably averaged</t>
  </si>
  <si>
    <t>Worst Case</t>
  </si>
  <si>
    <t>Best Case</t>
  </si>
  <si>
    <t>Optimism:</t>
  </si>
  <si>
    <t>Optimism Value Estimate</t>
  </si>
  <si>
    <t>Optimism Value Estimate is a theory I have that you will always achieve a ratio of the marks between your absolute worst and best estimate, because as you know we all either overestimate or underestimate ourselves. I will create a much more advanced model once I have more data. If you are in your second year. Adjust the optimism percentage until the estimate lines up with what you actually achieved and this should extrapolate your next modules. Each person's optimism percentage is likely to be different depending on what kind of person they are.</t>
  </si>
  <si>
    <t>Needed for technical reasons</t>
  </si>
  <si>
    <t>OVE Weight value</t>
  </si>
  <si>
    <t>Jap RW</t>
  </si>
  <si>
    <t>105/129*0.75+24/129*(1/10*0.72+3/10*0.7+6/10*0.4)</t>
  </si>
  <si>
    <t>LF104</t>
  </si>
  <si>
    <t>LF104</t>
    <phoneticPr fontId="2" type="noConversion"/>
  </si>
  <si>
    <t>CH163</t>
  </si>
  <si>
    <t>CH163</t>
    <phoneticPr fontId="2" type="noConversion"/>
  </si>
  <si>
    <r>
      <rPr>
        <sz val="11"/>
        <color theme="1"/>
        <rFont val="Calibri"/>
        <family val="2"/>
      </rPr>
      <t>Test</t>
    </r>
    <r>
      <rPr>
        <sz val="11"/>
        <color theme="1"/>
        <rFont val="方正舒体"/>
        <family val="2"/>
        <scheme val="minor"/>
      </rPr>
      <t xml:space="preserve"> 1</t>
    </r>
    <phoneticPr fontId="2" type="noConversion"/>
  </si>
  <si>
    <t>Experiment 1</t>
    <phoneticPr fontId="2" type="noConversion"/>
  </si>
  <si>
    <t>Experiment 2</t>
  </si>
  <si>
    <t>Experiment 3</t>
  </si>
  <si>
    <t>Test 2</t>
    <phoneticPr fontId="2" type="noConversion"/>
  </si>
  <si>
    <t>Tutorials</t>
    <phoneticPr fontId="2" type="noConversion"/>
  </si>
  <si>
    <t>Labs</t>
    <phoneticPr fontId="2" type="noConversion"/>
  </si>
  <si>
    <t>CH161</t>
    <phoneticPr fontId="2" type="noConversion"/>
  </si>
  <si>
    <t>LF103</t>
    <phoneticPr fontId="2" type="noConversion"/>
  </si>
  <si>
    <t>BS129</t>
    <phoneticPr fontId="2" type="noConversion"/>
  </si>
  <si>
    <t>BS127</t>
    <phoneticPr fontId="2" type="noConversion"/>
  </si>
  <si>
    <t>LF101</t>
    <phoneticPr fontId="2" type="noConversion"/>
  </si>
  <si>
    <t>CATS TOTAL:</t>
    <phoneticPr fontId="2" type="noConversion"/>
  </si>
  <si>
    <t>% of year</t>
    <phoneticPr fontId="2" type="noConversion"/>
  </si>
  <si>
    <t>Marks already secured</t>
    <phoneticPr fontId="2" type="noConversion"/>
  </si>
  <si>
    <r>
      <t>M</t>
    </r>
    <r>
      <rPr>
        <sz val="11"/>
        <color theme="1"/>
        <rFont val="Calibri"/>
        <family val="2"/>
      </rPr>
      <t>odule Minimum Mark</t>
    </r>
    <phoneticPr fontId="2" type="noConversion"/>
  </si>
  <si>
    <t>Code</t>
    <phoneticPr fontId="2" type="noConversion"/>
  </si>
  <si>
    <t>Total: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</si>
</sst>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00%"/>
  </numFmts>
  <fonts count="4">
    <font>
      <sz val="11"/>
      <color theme="1"/>
      <name val="方正舒体"/>
      <family val="2"/>
      <scheme val="minor"/>
    </font>
    <font>
      <sz val="11"/>
      <color theme="1"/>
      <name val="方正舒体"/>
      <family val="2"/>
      <scheme val="minor"/>
    </font>
    <font>
      <sz val="9"/>
      <name val="方正舒体"/>
      <family val="3"/>
      <charset val="134"/>
      <scheme val="minor"/>
    </font>
    <font>
      <sz val="11"/>
      <color theme="1"/>
      <name val="Calibri"/>
      <family val="2"/>
    </font>
  </fonts>
  <fills count="4">
    <fill>
      <patternFill patternType="none"/>
    </fill>
    <fill>
      <patternFill patternType="gray125"/>
    </fill>
    <fill>
      <patternFill patternType="solid">
        <fgColor rgb="FFFFFFCC"/>
      </patternFill>
    </fill>
    <fill>
      <patternFill patternType="solid">
        <fgColor rgb="FF644987"/>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9" fontId="1" fillId="0" borderId="0" applyFont="0" applyFill="0" applyBorder="0" applyAlignment="0" applyProtection="0"/>
    <xf numFmtId="0" fontId="1" fillId="2" borderId="1" applyNumberFormat="0" applyFont="0" applyAlignment="0" applyProtection="0"/>
  </cellStyleXfs>
  <cellXfs count="19">
    <xf numFmtId="0" fontId="0" fillId="0" borderId="0" xfId="0"/>
    <xf numFmtId="0" fontId="0" fillId="3" borderId="0" xfId="0" applyFill="1"/>
    <xf numFmtId="9" fontId="0" fillId="3" borderId="0" xfId="0" applyNumberFormat="1" applyFill="1"/>
    <xf numFmtId="14" fontId="0" fillId="3" borderId="0" xfId="0" applyNumberFormat="1" applyFill="1"/>
    <xf numFmtId="176" fontId="0" fillId="3" borderId="0" xfId="0" applyNumberFormat="1" applyFill="1"/>
    <xf numFmtId="10" fontId="0" fillId="3" borderId="0" xfId="0" applyNumberFormat="1" applyFill="1"/>
    <xf numFmtId="0" fontId="0" fillId="3" borderId="1" xfId="2" applyFont="1" applyFill="1"/>
    <xf numFmtId="9" fontId="0" fillId="3" borderId="0" xfId="1" applyNumberFormat="1" applyFont="1" applyFill="1"/>
    <xf numFmtId="9" fontId="0" fillId="3" borderId="0" xfId="1" applyFont="1" applyFill="1"/>
    <xf numFmtId="177" fontId="0" fillId="3" borderId="0" xfId="0" applyNumberFormat="1" applyFill="1"/>
    <xf numFmtId="10" fontId="0" fillId="3" borderId="0" xfId="1" applyNumberFormat="1" applyFont="1" applyFill="1"/>
    <xf numFmtId="176" fontId="0" fillId="3" borderId="0" xfId="1" applyNumberFormat="1" applyFont="1" applyFill="1" applyAlignment="1">
      <alignment horizontal="right"/>
    </xf>
    <xf numFmtId="9" fontId="0" fillId="3" borderId="0" xfId="1" applyFont="1" applyFill="1" applyAlignment="1">
      <alignment horizontal="right"/>
    </xf>
    <xf numFmtId="176" fontId="0" fillId="3" borderId="0" xfId="0" applyNumberFormat="1" applyFill="1" applyAlignment="1">
      <alignment horizontal="right"/>
    </xf>
    <xf numFmtId="9" fontId="0" fillId="3" borderId="0" xfId="0" applyNumberFormat="1" applyFill="1" applyAlignment="1">
      <alignment horizontal="right"/>
    </xf>
    <xf numFmtId="176" fontId="0" fillId="3" borderId="0" xfId="1" applyNumberFormat="1" applyFont="1" applyFill="1"/>
    <xf numFmtId="0" fontId="3" fillId="3" borderId="0" xfId="0" applyFont="1" applyFill="1"/>
    <xf numFmtId="0" fontId="0" fillId="3" borderId="0" xfId="2" applyFont="1" applyFill="1" applyBorder="1"/>
    <xf numFmtId="9" fontId="3" fillId="3" borderId="0" xfId="0" applyNumberFormat="1" applyFont="1" applyFill="1"/>
  </cellXfs>
  <cellStyles count="3">
    <cellStyle name="Normal" xfId="0" builtinId="0"/>
    <cellStyle name="Note" xfId="2" builtinId="10"/>
    <cellStyle name="Percent" xfId="1" builtinId="5"/>
  </cellStyles>
  <dxfs count="3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方正舒体"/>
        <family val="2"/>
        <scheme val="minor"/>
      </font>
      <numFmt numFmtId="14" formatCode="0.00%"/>
      <fill>
        <patternFill patternType="solid">
          <fgColor indexed="64"/>
          <bgColor rgb="FF644987"/>
        </patternFill>
      </fill>
    </dxf>
    <dxf>
      <font>
        <b val="0"/>
        <i val="0"/>
        <strike val="0"/>
        <condense val="0"/>
        <extend val="0"/>
        <outline val="0"/>
        <shadow val="0"/>
        <u val="none"/>
        <vertAlign val="baseline"/>
        <sz val="11"/>
        <color theme="1"/>
        <name val="方正舒体"/>
        <family val="2"/>
        <scheme val="minor"/>
      </font>
      <numFmt numFmtId="14" formatCode="0.00%"/>
      <fill>
        <patternFill patternType="solid">
          <fgColor indexed="64"/>
          <bgColor rgb="FF644987"/>
        </patternFill>
      </fill>
    </dxf>
    <dxf>
      <font>
        <b val="0"/>
        <i val="0"/>
        <strike val="0"/>
        <condense val="0"/>
        <extend val="0"/>
        <outline val="0"/>
        <shadow val="0"/>
        <u val="none"/>
        <vertAlign val="baseline"/>
        <sz val="11"/>
        <color theme="1"/>
        <name val="方正舒体"/>
        <family val="2"/>
        <scheme val="minor"/>
      </font>
      <numFmt numFmtId="13" formatCode="0%"/>
      <fill>
        <patternFill patternType="solid">
          <fgColor indexed="64"/>
          <bgColor rgb="FF644987"/>
        </patternFill>
      </fill>
    </dxf>
    <dxf>
      <font>
        <b val="0"/>
        <i val="0"/>
        <strike val="0"/>
        <condense val="0"/>
        <extend val="0"/>
        <outline val="0"/>
        <shadow val="0"/>
        <u val="none"/>
        <vertAlign val="baseline"/>
        <sz val="11"/>
        <color theme="1"/>
        <name val="方正舒体"/>
        <family val="2"/>
        <scheme val="minor"/>
      </font>
      <fill>
        <patternFill patternType="solid">
          <fgColor indexed="64"/>
          <bgColor rgb="FF644987"/>
        </patternFill>
      </fill>
    </dxf>
    <dxf>
      <font>
        <b val="0"/>
        <i val="0"/>
        <strike val="0"/>
        <condense val="0"/>
        <extend val="0"/>
        <outline val="0"/>
        <shadow val="0"/>
        <u val="none"/>
        <vertAlign val="baseline"/>
        <sz val="11"/>
        <color theme="1"/>
        <name val="方正舒体"/>
        <family val="2"/>
        <scheme val="minor"/>
      </font>
      <numFmt numFmtId="176" formatCode="0.0%"/>
      <fill>
        <patternFill patternType="solid">
          <fgColor indexed="64"/>
          <bgColor rgb="FF644987"/>
        </patternFill>
      </fill>
      <alignment horizontal="right" vertical="bottom" textRotation="0" wrapText="0" indent="0" justifyLastLine="0" shrinkToFit="0" readingOrder="0"/>
    </dxf>
    <dxf>
      <numFmt numFmtId="13" formatCode="0%"/>
      <fill>
        <patternFill patternType="solid">
          <fgColor indexed="64"/>
          <bgColor rgb="FF644987"/>
        </patternFill>
      </fill>
    </dxf>
    <dxf>
      <font>
        <b val="0"/>
        <i val="0"/>
        <strike val="0"/>
        <condense val="0"/>
        <extend val="0"/>
        <outline val="0"/>
        <shadow val="0"/>
        <u val="none"/>
        <vertAlign val="baseline"/>
        <sz val="11"/>
        <color theme="1"/>
        <name val="方正舒体"/>
        <family val="2"/>
        <scheme val="minor"/>
      </font>
      <numFmt numFmtId="14" formatCode="0.00%"/>
      <fill>
        <patternFill patternType="solid">
          <fgColor indexed="64"/>
          <bgColor rgb="FF644987"/>
        </patternFill>
      </fill>
    </dxf>
    <dxf>
      <fill>
        <patternFill patternType="solid">
          <fgColor indexed="64"/>
          <bgColor rgb="FF644987"/>
        </patternFill>
      </fill>
    </dxf>
    <dxf>
      <fill>
        <patternFill patternType="solid">
          <fgColor indexed="64"/>
          <bgColor rgb="FF644987"/>
        </patternFill>
      </fill>
    </dxf>
    <dxf>
      <numFmt numFmtId="13" formatCode="0%"/>
      <fill>
        <patternFill patternType="solid">
          <fgColor indexed="64"/>
          <bgColor rgb="FF644987"/>
        </patternFill>
      </fill>
    </dxf>
    <dxf>
      <numFmt numFmtId="13" formatCode="0%"/>
      <fill>
        <patternFill patternType="solid">
          <fgColor indexed="64"/>
          <bgColor rgb="FF644987"/>
        </patternFill>
      </fill>
    </dxf>
    <dxf>
      <numFmt numFmtId="13" formatCode="0%"/>
      <fill>
        <patternFill patternType="solid">
          <fgColor indexed="64"/>
          <bgColor rgb="FF644987"/>
        </patternFill>
      </fill>
    </dxf>
    <dxf>
      <numFmt numFmtId="13" formatCode="0%"/>
      <fill>
        <patternFill patternType="solid">
          <fgColor indexed="64"/>
          <bgColor rgb="FF644987"/>
        </patternFill>
      </fill>
    </dxf>
    <dxf>
      <font>
        <b val="0"/>
        <i val="0"/>
        <strike val="0"/>
        <condense val="0"/>
        <extend val="0"/>
        <outline val="0"/>
        <shadow val="0"/>
        <u val="none"/>
        <vertAlign val="baseline"/>
        <sz val="11"/>
        <color theme="1"/>
        <name val="Calibri"/>
        <family val="2"/>
        <scheme val="none"/>
      </font>
      <fill>
        <patternFill patternType="solid">
          <fgColor indexed="64"/>
          <bgColor rgb="FF644987"/>
        </patternFill>
      </fill>
    </dxf>
    <dxf>
      <font>
        <b val="0"/>
        <i val="0"/>
        <strike val="0"/>
        <condense val="0"/>
        <extend val="0"/>
        <outline val="0"/>
        <shadow val="0"/>
        <u val="none"/>
        <vertAlign val="baseline"/>
        <sz val="11"/>
        <color theme="1"/>
        <name val="方正舒体"/>
        <family val="2"/>
        <scheme val="minor"/>
      </font>
      <numFmt numFmtId="14" formatCode="0.00%"/>
      <fill>
        <patternFill patternType="solid">
          <fgColor indexed="64"/>
          <bgColor rgb="FF644987"/>
        </patternFill>
      </fill>
    </dxf>
    <dxf>
      <numFmt numFmtId="19" formatCode="dd/mm/yyyy"/>
      <fill>
        <patternFill patternType="solid">
          <fgColor indexed="64"/>
          <bgColor rgb="FF644987"/>
        </patternFill>
      </fill>
    </dxf>
    <dxf>
      <fill>
        <patternFill patternType="solid">
          <fgColor indexed="64"/>
          <bgColor rgb="FF644987"/>
        </patternFill>
      </fill>
    </dxf>
    <dxf>
      <fill>
        <patternFill patternType="solid">
          <fgColor indexed="64"/>
          <bgColor rgb="FF644987"/>
        </patternFill>
      </fill>
    </dxf>
    <dxf>
      <fill>
        <patternFill patternType="solid">
          <fgColor indexed="64"/>
          <bgColor rgb="FF644987"/>
        </patternFill>
      </fill>
    </dxf>
    <dxf>
      <numFmt numFmtId="14" formatCode="0.00%"/>
      <fill>
        <patternFill patternType="solid">
          <fgColor indexed="64"/>
          <bgColor rgb="FF644987"/>
        </patternFill>
      </fill>
    </dxf>
    <dxf>
      <numFmt numFmtId="13" formatCode="0%"/>
      <fill>
        <patternFill patternType="solid">
          <fgColor indexed="64"/>
          <bgColor rgb="FF644987"/>
        </patternFill>
      </fill>
    </dxf>
    <dxf>
      <numFmt numFmtId="13" formatCode="0%"/>
      <fill>
        <patternFill patternType="solid">
          <fgColor indexed="64"/>
          <bgColor rgb="FF644987"/>
        </patternFill>
      </fill>
    </dxf>
    <dxf>
      <font>
        <b val="0"/>
        <i val="0"/>
        <strike val="0"/>
        <condense val="0"/>
        <extend val="0"/>
        <outline val="0"/>
        <shadow val="0"/>
        <u val="none"/>
        <vertAlign val="baseline"/>
        <sz val="11"/>
        <color theme="1"/>
        <name val="Calibri"/>
        <family val="2"/>
        <scheme val="none"/>
      </font>
      <fill>
        <patternFill patternType="solid">
          <fgColor indexed="64"/>
          <bgColor rgb="FF644987"/>
        </patternFill>
      </fill>
    </dxf>
  </dxfs>
  <tableStyles count="0" defaultTableStyle="TableStyleMedium2" defaultPivotStyle="PivotStyleLight16"/>
  <colors>
    <mruColors>
      <color rgb="FF644987"/>
      <color rgb="FF6640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aseline="0"/>
              <a:t>Average/Time</a:t>
            </a:r>
          </a:p>
        </c:rich>
      </c:tx>
      <c:overlay val="0"/>
    </c:title>
    <c:autoTitleDeleted val="0"/>
    <c:plotArea>
      <c:layout/>
      <c:lineChart>
        <c:grouping val="stacked"/>
        <c:varyColors val="0"/>
        <c:ser>
          <c:idx val="0"/>
          <c:order val="0"/>
          <c:marker>
            <c:symbol val="none"/>
          </c:marker>
          <c:cat>
            <c:numRef>
              <c:f>Assignments!$G$7:$G$25</c:f>
              <c:numCache>
                <c:formatCode>m/d/yyyy</c:formatCode>
                <c:ptCount val="19"/>
                <c:pt idx="0">
                  <c:v>43391</c:v>
                </c:pt>
              </c:numCache>
            </c:numRef>
          </c:cat>
          <c:val>
            <c:numRef>
              <c:f>Assignments!$H$7:$H$25</c:f>
              <c:numCache>
                <c:formatCode>0.00%</c:formatCode>
                <c:ptCount val="19"/>
                <c:pt idx="0">
                  <c:v>0.89700000000000002</c:v>
                </c:pt>
                <c:pt idx="1">
                  <c:v>0.9392131147540983</c:v>
                </c:pt>
                <c:pt idx="2">
                  <c:v>0.95688372093023244</c:v>
                </c:pt>
              </c:numCache>
            </c:numRef>
          </c:val>
          <c:smooth val="0"/>
          <c:extLst>
            <c:ext xmlns:c16="http://schemas.microsoft.com/office/drawing/2014/chart" uri="{C3380CC4-5D6E-409C-BE32-E72D297353CC}">
              <c16:uniqueId val="{00000000-46FC-4882-9D3E-95AE28116113}"/>
            </c:ext>
          </c:extLst>
        </c:ser>
        <c:dLbls>
          <c:showLegendKey val="0"/>
          <c:showVal val="0"/>
          <c:showCatName val="0"/>
          <c:showSerName val="0"/>
          <c:showPercent val="0"/>
          <c:showBubbleSize val="0"/>
        </c:dLbls>
        <c:smooth val="0"/>
        <c:axId val="138478336"/>
        <c:axId val="138480256"/>
      </c:lineChart>
      <c:dateAx>
        <c:axId val="138478336"/>
        <c:scaling>
          <c:orientation val="minMax"/>
        </c:scaling>
        <c:delete val="0"/>
        <c:axPos val="b"/>
        <c:title>
          <c:tx>
            <c:rich>
              <a:bodyPr/>
              <a:lstStyle/>
              <a:p>
                <a:pPr>
                  <a:defRPr/>
                </a:pPr>
                <a:r>
                  <a:rPr lang="en-GB"/>
                  <a:t>Date</a:t>
                </a:r>
              </a:p>
            </c:rich>
          </c:tx>
          <c:overlay val="0"/>
        </c:title>
        <c:numFmt formatCode="mm/yyyy" sourceLinked="0"/>
        <c:majorTickMark val="out"/>
        <c:minorTickMark val="none"/>
        <c:tickLblPos val="nextTo"/>
        <c:txPr>
          <a:bodyPr rot="0" vert="horz"/>
          <a:lstStyle/>
          <a:p>
            <a:pPr>
              <a:defRPr/>
            </a:pPr>
            <a:endParaRPr lang="zh-CN"/>
          </a:p>
        </c:txPr>
        <c:crossAx val="138480256"/>
        <c:crosses val="autoZero"/>
        <c:auto val="0"/>
        <c:lblOffset val="100"/>
        <c:baseTimeUnit val="days"/>
      </c:dateAx>
      <c:valAx>
        <c:axId val="138480256"/>
        <c:scaling>
          <c:orientation val="minMax"/>
        </c:scaling>
        <c:delete val="0"/>
        <c:axPos val="l"/>
        <c:majorGridlines/>
        <c:title>
          <c:tx>
            <c:rich>
              <a:bodyPr rot="-5400000" vert="horz"/>
              <a:lstStyle/>
              <a:p>
                <a:pPr>
                  <a:defRPr/>
                </a:pPr>
                <a:r>
                  <a:rPr lang="en-GB"/>
                  <a:t>Weigthed </a:t>
                </a:r>
              </a:p>
              <a:p>
                <a:pPr>
                  <a:defRPr/>
                </a:pPr>
                <a:r>
                  <a:rPr lang="en-GB"/>
                  <a:t>Average</a:t>
                </a:r>
              </a:p>
            </c:rich>
          </c:tx>
          <c:overlay val="0"/>
        </c:title>
        <c:numFmt formatCode="0%" sourceLinked="0"/>
        <c:majorTickMark val="out"/>
        <c:minorTickMark val="none"/>
        <c:tickLblPos val="nextTo"/>
        <c:crossAx val="138478336"/>
        <c:crosses val="autoZero"/>
        <c:crossBetween val="between"/>
      </c:valAx>
    </c:plotArea>
    <c:plotVisOnly val="1"/>
    <c:dispBlanksAs val="zero"/>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619124</xdr:colOff>
      <xdr:row>23</xdr:row>
      <xdr:rowOff>146880</xdr:rowOff>
    </xdr:from>
    <xdr:ext cx="2524125" cy="277736"/>
    <xdr:sp macro="[0]!Assignments" textlink="">
      <xdr:nvSpPr>
        <xdr:cNvPr id="2" name="Rectangle: Rounded Corners 1">
          <a:extLst>
            <a:ext uri="{FF2B5EF4-FFF2-40B4-BE49-F238E27FC236}">
              <a16:creationId xmlns:a16="http://schemas.microsoft.com/office/drawing/2014/main" id="{21361D8D-2157-487C-B6B2-D3C0594F24BD}"/>
            </a:ext>
          </a:extLst>
        </xdr:cNvPr>
        <xdr:cNvSpPr/>
      </xdr:nvSpPr>
      <xdr:spPr>
        <a:xfrm>
          <a:off x="1990724" y="4309305"/>
          <a:ext cx="2524125" cy="277736"/>
        </a:xfrm>
        <a:prstGeom prst="roundRect">
          <a:avLst/>
        </a:prstGeom>
        <a:solidFill>
          <a:schemeClr val="accent3"/>
        </a:solidFill>
        <a:ln w="12700">
          <a:solidFill>
            <a:srgbClr val="0070C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nchorCtr="0">
          <a:noAutofit/>
        </a:bodyPr>
        <a:lstStyle/>
        <a:p>
          <a:pPr algn="ctr"/>
          <a:r>
            <a:rPr lang="en-GB" altLang="zh-CN" sz="1600" b="1"/>
            <a:t>Assignments</a:t>
          </a:r>
          <a:endParaRPr lang="zh-CN" altLang="en-US" sz="16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40</xdr:col>
      <xdr:colOff>63233</xdr:colOff>
      <xdr:row>15</xdr:row>
      <xdr:rowOff>0</xdr:rowOff>
    </xdr:from>
    <xdr:to>
      <xdr:col>51</xdr:col>
      <xdr:colOff>414618</xdr:colOff>
      <xdr:row>35</xdr:row>
      <xdr:rowOff>90448</xdr:rowOff>
    </xdr:to>
    <xdr:graphicFrame macro="">
      <xdr:nvGraphicFramePr>
        <xdr:cNvPr id="2" name="Moving Avg">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0</xdr:row>
      <xdr:rowOff>123825</xdr:rowOff>
    </xdr:from>
    <xdr:to>
      <xdr:col>1</xdr:col>
      <xdr:colOff>38100</xdr:colOff>
      <xdr:row>3</xdr:row>
      <xdr:rowOff>161925</xdr:rowOff>
    </xdr:to>
    <xdr:pic macro="[0]!Home">
      <xdr:nvPicPr>
        <xdr:cNvPr id="4" name="Graphic 3" descr="Home">
          <a:extLst>
            <a:ext uri="{FF2B5EF4-FFF2-40B4-BE49-F238E27FC236}">
              <a16:creationId xmlns:a16="http://schemas.microsoft.com/office/drawing/2014/main" id="{F7B197E2-9989-45FE-91BC-07C6F166B58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3350" y="123825"/>
          <a:ext cx="590550" cy="590550"/>
        </a:xfrm>
        <a:prstGeom prst="rect">
          <a:avLst/>
        </a:prstGeom>
      </xdr:spPr>
    </xdr:pic>
    <xdr:clientData/>
  </xdr:twoCellAnchor>
  <xdr:twoCellAnchor>
    <xdr:from>
      <xdr:col>1</xdr:col>
      <xdr:colOff>1895474</xdr:colOff>
      <xdr:row>0</xdr:row>
      <xdr:rowOff>161924</xdr:rowOff>
    </xdr:from>
    <xdr:to>
      <xdr:col>3</xdr:col>
      <xdr:colOff>1028700</xdr:colOff>
      <xdr:row>3</xdr:row>
      <xdr:rowOff>95250</xdr:rowOff>
    </xdr:to>
    <xdr:sp macro="" textlink="">
      <xdr:nvSpPr>
        <xdr:cNvPr id="3" name="Rectangle: Rounded Corners 2">
          <a:extLst>
            <a:ext uri="{FF2B5EF4-FFF2-40B4-BE49-F238E27FC236}">
              <a16:creationId xmlns:a16="http://schemas.microsoft.com/office/drawing/2014/main" id="{1BEE1A52-B61A-454E-B80B-649C8452D61E}"/>
            </a:ext>
          </a:extLst>
        </xdr:cNvPr>
        <xdr:cNvSpPr/>
      </xdr:nvSpPr>
      <xdr:spPr>
        <a:xfrm>
          <a:off x="2581274" y="161924"/>
          <a:ext cx="2543176" cy="48577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l"/>
          <a:r>
            <a:rPr lang="en-GB" altLang="zh-CN" sz="1100" b="1"/>
            <a:t>Marks already secured:</a:t>
          </a:r>
        </a:p>
      </xdr:txBody>
    </xdr:sp>
    <xdr:clientData/>
  </xdr:twoCellAnchor>
  <xdr:twoCellAnchor>
    <xdr:from>
      <xdr:col>3</xdr:col>
      <xdr:colOff>47624</xdr:colOff>
      <xdr:row>1</xdr:row>
      <xdr:rowOff>9525</xdr:rowOff>
    </xdr:from>
    <xdr:to>
      <xdr:col>3</xdr:col>
      <xdr:colOff>879233</xdr:colOff>
      <xdr:row>3</xdr:row>
      <xdr:rowOff>76200</xdr:rowOff>
    </xdr:to>
    <xdr:sp macro="" textlink="$AG$38">
      <xdr:nvSpPr>
        <xdr:cNvPr id="6" name="Oval 5">
          <a:extLst>
            <a:ext uri="{FF2B5EF4-FFF2-40B4-BE49-F238E27FC236}">
              <a16:creationId xmlns:a16="http://schemas.microsoft.com/office/drawing/2014/main" id="{FDFE03CC-DE8A-441E-81DC-671DC5A66F43}"/>
            </a:ext>
          </a:extLst>
        </xdr:cNvPr>
        <xdr:cNvSpPr/>
      </xdr:nvSpPr>
      <xdr:spPr>
        <a:xfrm>
          <a:off x="4143374" y="190500"/>
          <a:ext cx="831609" cy="438150"/>
        </a:xfrm>
        <a:prstGeom prst="ellipse">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FF7A57E-F9EC-42C6-8F86-69F33B8DA9A3}" type="TxLink">
            <a:rPr lang="en-US" altLang="en-US" sz="1000" b="1" i="0" u="none" strike="noStrike">
              <a:solidFill>
                <a:schemeClr val="bg1"/>
              </a:solidFill>
              <a:latin typeface="方正舒体"/>
            </a:rPr>
            <a:pPr algn="ctr"/>
            <a:t>11.40%</a:t>
          </a:fld>
          <a:endParaRPr lang="zh-CN" altLang="en-US" sz="1000" b="1">
            <a:solidFill>
              <a:schemeClr val="bg1"/>
            </a:solidFill>
          </a:endParaRPr>
        </a:p>
      </xdr:txBody>
    </xdr:sp>
    <xdr:clientData/>
  </xdr:twoCellAnchor>
  <xdr:twoCellAnchor>
    <xdr:from>
      <xdr:col>4</xdr:col>
      <xdr:colOff>161925</xdr:colOff>
      <xdr:row>0</xdr:row>
      <xdr:rowOff>171449</xdr:rowOff>
    </xdr:from>
    <xdr:to>
      <xdr:col>6</xdr:col>
      <xdr:colOff>981075</xdr:colOff>
      <xdr:row>3</xdr:row>
      <xdr:rowOff>104775</xdr:rowOff>
    </xdr:to>
    <xdr:sp macro="" textlink="">
      <xdr:nvSpPr>
        <xdr:cNvPr id="7" name="Rectangle: Rounded Corners 6">
          <a:extLst>
            <a:ext uri="{FF2B5EF4-FFF2-40B4-BE49-F238E27FC236}">
              <a16:creationId xmlns:a16="http://schemas.microsoft.com/office/drawing/2014/main" id="{367307EC-AF6F-4DC3-9E9A-6AD0AFF89CC6}"/>
            </a:ext>
          </a:extLst>
        </xdr:cNvPr>
        <xdr:cNvSpPr/>
      </xdr:nvSpPr>
      <xdr:spPr>
        <a:xfrm>
          <a:off x="5400675" y="171449"/>
          <a:ext cx="2419350" cy="48577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l"/>
          <a:r>
            <a:rPr lang="en-GB" altLang="zh-CN" sz="1100" b="1"/>
            <a:t>% Year already assesed: </a:t>
          </a:r>
        </a:p>
      </xdr:txBody>
    </xdr:sp>
    <xdr:clientData/>
  </xdr:twoCellAnchor>
  <xdr:twoCellAnchor>
    <xdr:from>
      <xdr:col>6</xdr:col>
      <xdr:colOff>123824</xdr:colOff>
      <xdr:row>1</xdr:row>
      <xdr:rowOff>19049</xdr:rowOff>
    </xdr:from>
    <xdr:to>
      <xdr:col>6</xdr:col>
      <xdr:colOff>946211</xdr:colOff>
      <xdr:row>3</xdr:row>
      <xdr:rowOff>94487</xdr:rowOff>
    </xdr:to>
    <xdr:sp macro="" textlink="$AB$53">
      <xdr:nvSpPr>
        <xdr:cNvPr id="8" name="Oval 7">
          <a:extLst>
            <a:ext uri="{FF2B5EF4-FFF2-40B4-BE49-F238E27FC236}">
              <a16:creationId xmlns:a16="http://schemas.microsoft.com/office/drawing/2014/main" id="{C71829D7-E9AC-449B-BBE9-6B4634C9DCD0}"/>
            </a:ext>
          </a:extLst>
        </xdr:cNvPr>
        <xdr:cNvSpPr/>
      </xdr:nvSpPr>
      <xdr:spPr>
        <a:xfrm>
          <a:off x="6962774" y="200024"/>
          <a:ext cx="822387" cy="446913"/>
        </a:xfrm>
        <a:prstGeom prst="ellipse">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19FB2E0-E457-4DF9-AE76-3C62A7770392}" type="TxLink">
            <a:rPr lang="en-US" altLang="en-US" sz="1000" b="1" i="0" u="none" strike="noStrike">
              <a:solidFill>
                <a:schemeClr val="bg1"/>
              </a:solidFill>
              <a:latin typeface="方正舒体"/>
            </a:rPr>
            <a:t>12.38%</a:t>
          </a:fld>
          <a:endParaRPr lang="zh-CN" altLang="en-US" sz="800" b="1">
            <a:solidFill>
              <a:schemeClr val="bg1"/>
            </a:solidFill>
          </a:endParaRPr>
        </a:p>
      </xdr:txBody>
    </xdr:sp>
    <xdr:clientData/>
  </xdr:twoCellAnchor>
  <xdr:twoCellAnchor>
    <xdr:from>
      <xdr:col>1</xdr:col>
      <xdr:colOff>76200</xdr:colOff>
      <xdr:row>0</xdr:row>
      <xdr:rowOff>161926</xdr:rowOff>
    </xdr:from>
    <xdr:to>
      <xdr:col>1</xdr:col>
      <xdr:colOff>1781175</xdr:colOff>
      <xdr:row>3</xdr:row>
      <xdr:rowOff>85726</xdr:rowOff>
    </xdr:to>
    <xdr:sp macro="" textlink="">
      <xdr:nvSpPr>
        <xdr:cNvPr id="9" name="Rectangle: Rounded Corners 8">
          <a:extLst>
            <a:ext uri="{FF2B5EF4-FFF2-40B4-BE49-F238E27FC236}">
              <a16:creationId xmlns:a16="http://schemas.microsoft.com/office/drawing/2014/main" id="{43409093-1846-47BC-AAC9-C64E348B0DEF}"/>
            </a:ext>
          </a:extLst>
        </xdr:cNvPr>
        <xdr:cNvSpPr/>
      </xdr:nvSpPr>
      <xdr:spPr>
        <a:xfrm>
          <a:off x="762000" y="161926"/>
          <a:ext cx="1704975" cy="476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l"/>
          <a:r>
            <a:rPr lang="en-GB" altLang="zh-CN" sz="1100" b="1"/>
            <a:t>Average:</a:t>
          </a:r>
        </a:p>
      </xdr:txBody>
    </xdr:sp>
    <xdr:clientData/>
  </xdr:twoCellAnchor>
  <xdr:twoCellAnchor>
    <xdr:from>
      <xdr:col>1</xdr:col>
      <xdr:colOff>771525</xdr:colOff>
      <xdr:row>1</xdr:row>
      <xdr:rowOff>0</xdr:rowOff>
    </xdr:from>
    <xdr:to>
      <xdr:col>1</xdr:col>
      <xdr:colOff>1590675</xdr:colOff>
      <xdr:row>3</xdr:row>
      <xdr:rowOff>66675</xdr:rowOff>
    </xdr:to>
    <xdr:sp macro="" textlink="$AD$45">
      <xdr:nvSpPr>
        <xdr:cNvPr id="10" name="Oval 9">
          <a:extLst>
            <a:ext uri="{FF2B5EF4-FFF2-40B4-BE49-F238E27FC236}">
              <a16:creationId xmlns:a16="http://schemas.microsoft.com/office/drawing/2014/main" id="{85637734-E25C-4FCA-9CA1-CC8BB600AE2B}"/>
            </a:ext>
          </a:extLst>
        </xdr:cNvPr>
        <xdr:cNvSpPr/>
      </xdr:nvSpPr>
      <xdr:spPr>
        <a:xfrm>
          <a:off x="1457325" y="180975"/>
          <a:ext cx="819150" cy="438150"/>
        </a:xfrm>
        <a:prstGeom prst="ellipse">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97904AA-7BED-4F4D-80DD-AC459A736B08}" type="TxLink">
            <a:rPr lang="en-US" altLang="en-US" sz="1000" b="1" i="0" u="none" strike="noStrike">
              <a:solidFill>
                <a:schemeClr val="bg1"/>
              </a:solidFill>
              <a:latin typeface="方正舒体"/>
            </a:rPr>
            <a:t>92.10%</a:t>
          </a:fld>
          <a:endParaRPr lang="en-US" altLang="en-US" sz="800" b="1" i="0" u="none" strike="noStrike">
            <a:solidFill>
              <a:schemeClr val="bg1"/>
            </a:solidFill>
            <a:latin typeface="方正舒体"/>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855E1C-B46C-45A6-9F82-34C99EBE02A8}" name="Table1" displayName="Table1" ref="Q6:AD15" totalsRowShown="0">
  <autoFilter ref="Q6:AD15" xr:uid="{AB7611DE-4598-4030-A584-6D04BD1E967C}"/>
  <tableColumns count="14">
    <tableColumn id="1" xr3:uid="{EF14C613-C487-41A4-92EE-BB318C28866D}" name="Code" dataDxfId="23"/>
    <tableColumn id="2" xr3:uid="{CB208920-EF24-43D1-9028-B639988EFAFF}" name="Coursework Worth" dataDxfId="22"/>
    <tableColumn id="3" xr3:uid="{056373E8-137E-4993-8215-1EB908F63E6E}" name="Coursework Left" dataDxfId="21">
      <calculatedColumnFormula>R7-SUMIF($E$7:$E$39,Q7,$D$7:$D$39)</calculatedColumnFormula>
    </tableColumn>
    <tableColumn id="4" xr3:uid="{CB017BF9-F3EE-4229-8409-CC04A1AAD3E1}" name="Exam Left" dataDxfId="20">
      <calculatedColumnFormula>(1-R7)-SUMIF($M$7:$M$39,Q7,$L$7:$L$39)</calculatedColumnFormula>
    </tableColumn>
    <tableColumn id="5" xr3:uid="{0E3A5656-171C-4022-BE18-112C8A3B70A4}" name="Total Done" dataDxfId="19">
      <calculatedColumnFormula>1-S7-T7</calculatedColumnFormula>
    </tableColumn>
    <tableColumn id="6" xr3:uid="{786B30E0-010D-443A-BBB8-E3905BA3823B}" name="CATS" dataDxfId="18"/>
    <tableColumn id="7" xr3:uid="{E1816AE2-7064-4D65-A4BC-A7D2C28712D7}" name="Year Taken" dataDxfId="17"/>
    <tableColumn id="8" xr3:uid="{910FE648-6695-49D9-8FC6-B9C38238DC91}" name="Module Minimum Mark" dataDxfId="16" dataCellStyle="Percent">
      <calculatedColumnFormula>SUMPRODUCT(--($E$7:$E$118=Q7),CMarks,CWeights)+SUMPRODUCT(--(ECodes=Q7),EWeights,EMarks)</calculatedColumnFormula>
    </tableColumn>
    <tableColumn id="9" xr3:uid="{00E764E7-2E40-4AB2-95B9-4B416C5942D5}" name="Average" dataDxfId="15">
      <calculatedColumnFormula>IF(S7+T7&lt;1,X7/(1-S7-T7),"N/A")</calculatedColumnFormula>
    </tableColumn>
    <tableColumn id="10" xr3:uid="{2FD8C1D8-593E-4F5F-929F-90CE809E6BEF}" name="Avg Needed Pass" dataDxfId="14" dataCellStyle="Percent">
      <calculatedColumnFormula>IF((0.4-X7)&lt;0,"Passed",IF(T7+S7&gt;0,IF((0.4-X7)/(T7+S7)&lt;1,(0.4-X7)/(T7+S7),"Failed"),"Failed"))</calculatedColumnFormula>
    </tableColumn>
    <tableColumn id="11" xr3:uid="{4ED66DDC-9E46-4804-B958-914038F8BB51}" name="Avg Needed Goal" dataDxfId="13" dataCellStyle="Percent">
      <calculatedColumnFormula>IF(($AB$3-X7)&lt;0,"Goal Hit",IF(T7+S7&gt;0,IF(($AB$3-X7)/(T7+S7)&lt;1,($AB$3-X7)/(T7+S7),"Goal Miss"),"Goal Miss"))</calculatedColumnFormula>
    </tableColumn>
    <tableColumn id="12" xr3:uid="{45811DBD-DAE7-475A-B3E8-D69B14B53450}" name="Best Possible" dataDxfId="12" dataCellStyle="Percent">
      <calculatedColumnFormula>X7+(1-U7)</calculatedColumnFormula>
    </tableColumn>
    <tableColumn id="13" xr3:uid="{D5DFA57F-39F5-4312-A5DB-36160B603E61}" name="% of year" dataDxfId="11" dataCellStyle="Percent">
      <calculatedColumnFormula>V7/$V$3</calculatedColumnFormula>
    </tableColumn>
    <tableColumn id="14" xr3:uid="{44877F6B-B83D-4E3B-9750-ECAA93DD52A6}" name="Marks already secured" dataDxfId="10" dataCellStyle="Percent">
      <calculatedColumnFormula>Table1[[#This Row],[% of year]]*Table1[[#This Row],[Module Minimum Mark]]</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3D4493-C4DA-473B-AB44-0B4AE277A938}" name="Table2" displayName="Table2" ref="B6:H11" totalsRowShown="0" headerRowDxfId="27" dataDxfId="28">
  <autoFilter ref="B6:H11" xr:uid="{C653AD79-9182-4E9E-BA04-BB3F224C5E28}"/>
  <tableColumns count="7">
    <tableColumn id="1" xr3:uid="{B048EED2-787C-4D25-A039-FC4E14ECA946}" name="Submission Title" dataDxfId="32"/>
    <tableColumn id="2" xr3:uid="{FABBB9A8-761C-4C88-AB04-AA22A2090B84}" name="Mark" dataDxfId="31"/>
    <tableColumn id="3" xr3:uid="{E05D4E76-D562-4B87-B59A-AD41D4C33E9B}" name="Module Worth" dataDxfId="30"/>
    <tableColumn id="4" xr3:uid="{F4CF6918-6F92-45A9-9ADA-06227DF1A0E2}" name="Module" dataDxfId="26"/>
    <tableColumn id="5" xr3:uid="{9B6AA507-9340-4BB0-8044-2835BA743EA2}" name="DegWorth" dataDxfId="24" dataCellStyle="Percent">
      <calculatedColumnFormula>VLOOKUP(E7,Modules,6,FALSE)/$V$3*Table2[[#This Row],[Module Worth]]</calculatedColumnFormula>
    </tableColumn>
    <tableColumn id="6" xr3:uid="{450B303F-34D8-4F53-B0D5-A81AF8E16B3C}" name="Date" dataDxfId="25"/>
    <tableColumn id="7" xr3:uid="{32FA013D-B9D0-4A0F-834D-C52094CCEC39}" name="Cumulative Avg" dataDxfId="29"/>
  </tableColumns>
  <tableStyleInfo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11C6-B6B1-4EC7-9760-588DFA5DF864}">
  <sheetPr>
    <tabColor rgb="FF664090"/>
  </sheetPr>
  <dimension ref="A1"/>
  <sheetViews>
    <sheetView showGridLines="0" workbookViewId="0">
      <selection activeCell="D37" sqref="D37"/>
    </sheetView>
  </sheetViews>
  <sheetFormatPr defaultRowHeight="14.25"/>
  <cols>
    <col min="1" max="16384" width="9" style="1"/>
  </cols>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B2:BG74"/>
  <sheetViews>
    <sheetView showGridLines="0" tabSelected="1" zoomScaleNormal="100" workbookViewId="0">
      <selection activeCell="B11" sqref="B11"/>
    </sheetView>
  </sheetViews>
  <sheetFormatPr defaultRowHeight="14.25"/>
  <cols>
    <col min="1" max="1" width="9" style="1"/>
    <col min="2" max="2" width="35.625" style="1" customWidth="1"/>
    <col min="3" max="3" width="9.125" style="2" customWidth="1"/>
    <col min="4" max="4" width="15" style="2" customWidth="1"/>
    <col min="5" max="5" width="9.375" style="1" customWidth="1"/>
    <col min="6" max="6" width="11.625" style="1" customWidth="1"/>
    <col min="7" max="7" width="13.875" style="3" customWidth="1"/>
    <col min="8" max="8" width="16.625" style="1" customWidth="1"/>
    <col min="9" max="9" width="9" style="1"/>
    <col min="10" max="10" width="10.75" style="1" customWidth="1"/>
    <col min="11" max="11" width="18" style="2" customWidth="1"/>
    <col min="12" max="12" width="17.125" style="2" customWidth="1"/>
    <col min="13" max="13" width="9.125" style="2" customWidth="1"/>
    <col min="14" max="14" width="11.125" style="2" customWidth="1"/>
    <col min="15" max="15" width="11.125" style="1" customWidth="1"/>
    <col min="16" max="17" width="9" style="1"/>
    <col min="18" max="18" width="19.25" style="1" customWidth="1"/>
    <col min="19" max="19" width="17.5" style="1" customWidth="1"/>
    <col min="20" max="21" width="17.125" style="1" customWidth="1"/>
    <col min="22" max="23" width="15.625" style="1" customWidth="1"/>
    <col min="24" max="24" width="21.25" style="1" customWidth="1"/>
    <col min="25" max="25" width="16.125" style="4" customWidth="1"/>
    <col min="26" max="26" width="18.75" style="5" customWidth="1"/>
    <col min="27" max="27" width="18.25" style="1" customWidth="1"/>
    <col min="28" max="28" width="15" style="1" customWidth="1"/>
    <col min="29" max="29" width="9.875" style="1" customWidth="1"/>
    <col min="30" max="30" width="20.25" style="1" customWidth="1"/>
    <col min="31" max="31" width="9" style="1"/>
    <col min="32" max="32" width="15.875" style="1" customWidth="1"/>
    <col min="33" max="33" width="26.625" style="1" customWidth="1"/>
    <col min="34" max="34" width="25" style="1" customWidth="1"/>
    <col min="35" max="35" width="26.75" style="1" customWidth="1"/>
    <col min="36" max="36" width="12.625" style="1" customWidth="1"/>
    <col min="37" max="37" width="12.375" style="1" customWidth="1"/>
    <col min="38" max="38" width="24.625" style="1" customWidth="1"/>
    <col min="39" max="39" width="10.25" style="1" customWidth="1"/>
    <col min="40" max="41" width="9" style="1"/>
    <col min="42" max="42" width="11.375" style="1" customWidth="1"/>
    <col min="43" max="43" width="22.375" style="1" customWidth="1"/>
    <col min="44" max="44" width="11.625" style="1" customWidth="1"/>
    <col min="45" max="45" width="9" style="1"/>
    <col min="46" max="46" width="51.875" style="1" customWidth="1"/>
    <col min="47" max="16384" width="9" style="1"/>
  </cols>
  <sheetData>
    <row r="2" spans="2:50">
      <c r="AI2" s="6" t="s">
        <v>51</v>
      </c>
    </row>
    <row r="3" spans="2:50" ht="15">
      <c r="D3" s="18"/>
      <c r="U3" s="16" t="s">
        <v>72</v>
      </c>
      <c r="V3" s="1">
        <f>SUM(V7:V24)</f>
        <v>126</v>
      </c>
      <c r="AA3" s="1" t="s">
        <v>27</v>
      </c>
      <c r="AB3" s="7">
        <v>0.8</v>
      </c>
      <c r="AK3" s="1" t="s">
        <v>49</v>
      </c>
      <c r="AL3" s="8">
        <v>0.5</v>
      </c>
    </row>
    <row r="4" spans="2:50">
      <c r="F4" s="17"/>
      <c r="H4" s="17"/>
      <c r="X4" s="6" t="s">
        <v>35</v>
      </c>
    </row>
    <row r="5" spans="2:50">
      <c r="B5" s="1" t="s">
        <v>1</v>
      </c>
      <c r="J5" s="1" t="s">
        <v>16</v>
      </c>
      <c r="Q5" s="1" t="s">
        <v>0</v>
      </c>
      <c r="R5" s="2"/>
      <c r="T5" s="2"/>
      <c r="U5" s="2"/>
      <c r="X5" s="5"/>
      <c r="AF5" s="1" t="s">
        <v>42</v>
      </c>
      <c r="AM5" s="1" t="s">
        <v>52</v>
      </c>
      <c r="AR5" s="6" t="s">
        <v>39</v>
      </c>
      <c r="AT5" s="1" t="s">
        <v>18</v>
      </c>
    </row>
    <row r="6" spans="2:50" ht="15">
      <c r="B6" s="1" t="s">
        <v>2</v>
      </c>
      <c r="C6" s="2" t="s">
        <v>3</v>
      </c>
      <c r="D6" s="2" t="s">
        <v>4</v>
      </c>
      <c r="E6" s="1" t="s">
        <v>6</v>
      </c>
      <c r="F6" s="1" t="s">
        <v>28</v>
      </c>
      <c r="G6" s="3" t="s">
        <v>5</v>
      </c>
      <c r="H6" s="1" t="s">
        <v>19</v>
      </c>
      <c r="J6" s="1" t="s">
        <v>17</v>
      </c>
      <c r="K6" s="2" t="s">
        <v>3</v>
      </c>
      <c r="L6" s="2" t="s">
        <v>4</v>
      </c>
      <c r="M6" s="2" t="s">
        <v>6</v>
      </c>
      <c r="N6" s="2" t="s">
        <v>28</v>
      </c>
      <c r="O6" s="1" t="s">
        <v>5</v>
      </c>
      <c r="Q6" s="1" t="s">
        <v>76</v>
      </c>
      <c r="R6" s="2" t="s">
        <v>13</v>
      </c>
      <c r="S6" s="1" t="s">
        <v>14</v>
      </c>
      <c r="T6" s="2" t="s">
        <v>15</v>
      </c>
      <c r="U6" s="2" t="s">
        <v>32</v>
      </c>
      <c r="V6" s="1" t="s">
        <v>20</v>
      </c>
      <c r="W6" s="2" t="s">
        <v>29</v>
      </c>
      <c r="X6" s="5" t="s">
        <v>75</v>
      </c>
      <c r="Y6" s="4" t="s">
        <v>22</v>
      </c>
      <c r="Z6" s="4" t="s">
        <v>25</v>
      </c>
      <c r="AA6" s="1" t="s">
        <v>26</v>
      </c>
      <c r="AB6" s="1" t="s">
        <v>33</v>
      </c>
      <c r="AC6" s="16" t="s">
        <v>73</v>
      </c>
      <c r="AD6" s="16" t="s">
        <v>74</v>
      </c>
      <c r="AE6" s="16"/>
      <c r="AG6" s="1" t="s">
        <v>43</v>
      </c>
      <c r="AH6" s="1" t="s">
        <v>44</v>
      </c>
      <c r="AI6" s="1" t="s">
        <v>45</v>
      </c>
      <c r="AJ6" s="1" t="s">
        <v>46</v>
      </c>
      <c r="AK6" s="1" t="s">
        <v>47</v>
      </c>
      <c r="AL6" s="1" t="s">
        <v>48</v>
      </c>
      <c r="AM6" s="1" t="s">
        <v>50</v>
      </c>
      <c r="AN6" s="1" t="s">
        <v>53</v>
      </c>
      <c r="AP6" s="1" t="s">
        <v>23</v>
      </c>
      <c r="AQ6" s="1" t="s">
        <v>24</v>
      </c>
      <c r="AR6" s="1" t="s">
        <v>31</v>
      </c>
      <c r="AS6" s="1" t="s">
        <v>33</v>
      </c>
      <c r="AU6" s="1" t="s">
        <v>21</v>
      </c>
      <c r="AV6" s="4">
        <f>(SUMPRODUCT(CMarks,CWeights,DWorth)+SUMPRODUCT(EMarks,EWeights,EDWorth))/(SUMPRODUCT(CWeights,DWorth)+SUMPRODUCT(EWeights,EDWorth))</f>
        <v>0.78881609195402258</v>
      </c>
      <c r="AX6" s="6" t="s">
        <v>36</v>
      </c>
    </row>
    <row r="7" spans="2:50" ht="15">
      <c r="B7" s="1" t="s">
        <v>60</v>
      </c>
      <c r="C7" s="2">
        <v>0.89700000000000002</v>
      </c>
      <c r="D7" s="2">
        <v>0.2</v>
      </c>
      <c r="E7" s="1" t="s">
        <v>56</v>
      </c>
      <c r="F7" s="10">
        <f>VLOOKUP(E7,Modules,6,FALSE)/$V$3*Table2[[#This Row],[Module Worth]]</f>
        <v>3.8095238095238099E-2</v>
      </c>
      <c r="G7" s="3">
        <v>43391</v>
      </c>
      <c r="H7" s="5">
        <f>SUMPRODUCT($C$7:C7,$D$7:D7,$F$7:F7)/SUMPRODUCT($D$7:D7,$F$7:F7)</f>
        <v>0.89700000000000002</v>
      </c>
      <c r="J7" s="1" t="s">
        <v>54</v>
      </c>
      <c r="K7" s="2">
        <v>0</v>
      </c>
      <c r="L7" s="2">
        <v>0.6</v>
      </c>
      <c r="M7" s="2" t="s">
        <v>41</v>
      </c>
      <c r="N7" s="9">
        <f>VLOOKUP(VLOOKUP(M7,Modules,7),YearTable,2)/SUMPRODUCT(CATS,--(VLOOKUP(M7,Modules,7)=Years))*VLOOKUP(M7,Modules,6)</f>
        <v>9.5238095238095247E-3</v>
      </c>
      <c r="O7" s="3"/>
      <c r="Q7" s="16" t="s">
        <v>57</v>
      </c>
      <c r="R7" s="2">
        <v>1</v>
      </c>
      <c r="S7" s="2">
        <f>R7-SUMIF($E$7:$E$39,Q7,$D$7:$D$39)</f>
        <v>0.6</v>
      </c>
      <c r="T7" s="2">
        <f>(1-R7)-SUMIF($M$7:$M$39,Q7,$L$7:$L$39)</f>
        <v>0</v>
      </c>
      <c r="U7" s="2">
        <f>1-S7-T7</f>
        <v>0.4</v>
      </c>
      <c r="V7" s="1">
        <v>24</v>
      </c>
      <c r="W7" s="1">
        <v>1</v>
      </c>
      <c r="X7" s="10">
        <f>SUMPRODUCT(--(CCodes=Q7),CMarks,CWeights)+SUMPRODUCT(--(ECodes=Q7),EWeights,EMarks)</f>
        <v>0.3528</v>
      </c>
      <c r="Y7" s="2">
        <f>IF(S7+T7&lt;1,X7/(1-S7-T7),"N/A")</f>
        <v>0.88200000000000001</v>
      </c>
      <c r="Z7" s="11">
        <f>IF((0.4-X7)&lt;0,"Passed",IF(T7+S7&gt;0,IF((0.4-X7)/(T7+S7)&lt;1,(0.4-X7)/(T7+S7),"Failed"),"Failed"))</f>
        <v>7.8666666666666704E-2</v>
      </c>
      <c r="AA7" s="8">
        <f t="shared" ref="AA7:AA13" si="0">IF(($AB$3-X7)&lt;0,"Goal Hit",IF(T7+S7&gt;0,IF(($AB$3-X7)/(T7+S7)&lt;1,($AB$3-X7)/(T7+S7),"Goal Miss"),"Goal Miss"))</f>
        <v>0.7453333333333334</v>
      </c>
      <c r="AB7" s="7">
        <f>X7+(1-U7)</f>
        <v>0.95279999999999998</v>
      </c>
      <c r="AC7" s="10">
        <f>V7/$V$3</f>
        <v>0.19047619047619047</v>
      </c>
      <c r="AD7" s="10">
        <f>Table1[[#This Row],[% of year]]*Table1[[#This Row],[Module Minimum Mark]]</f>
        <v>6.7199999999999996E-2</v>
      </c>
      <c r="AE7" s="10"/>
      <c r="AG7" s="8">
        <v>0.84</v>
      </c>
      <c r="AH7" s="4">
        <f>IF(ISBLANK(AG7),"Input case",(1-U7)*AG7+X7)</f>
        <v>0.85680000000000001</v>
      </c>
      <c r="AI7" s="8">
        <v>0.7</v>
      </c>
      <c r="AJ7" s="8">
        <v>0.96</v>
      </c>
      <c r="AK7" s="4">
        <f>(1-U7)*AI7+X7</f>
        <v>0.77279999999999993</v>
      </c>
      <c r="AL7" s="4">
        <f>(1-U7)*AJ7+X7</f>
        <v>0.92879999999999996</v>
      </c>
      <c r="AM7" s="4">
        <f>IF(OR(ISBLANK(AI7),ISBLANK(AJ7)),"Input Best and Worst Cases",(1-U7)*((1-AL3)*AI7+AJ7*AL3)+X7)</f>
        <v>0.8508</v>
      </c>
      <c r="AN7" s="1">
        <f>IF(AM7="Input Best and Worst Cases",U7,1)</f>
        <v>1</v>
      </c>
      <c r="AP7" s="1">
        <v>1</v>
      </c>
      <c r="AQ7" s="8">
        <v>0.1</v>
      </c>
      <c r="AR7" s="12">
        <f>IF(SUMPRODUCT(--(Years=AP7),CATS)&gt;=120,SUMPRODUCT(--(Years=AP7),CATS,$U$7:$U$118)/SUMPRODUCT(--(Years=AP7),CATS),"Not enough CATS")</f>
        <v>0.12380952380952383</v>
      </c>
      <c r="AS7" s="12">
        <f>IF(SUMPRODUCT(--(Years=AP7),CATS)&gt;120,SUMPRODUCT(--(Years=AP7),CATS,$AB$7:$AB$118)/SUMPRODUCT(--(Years=AP7),CATS),1)</f>
        <v>0.99021587301587299</v>
      </c>
      <c r="AU7" s="1" t="s">
        <v>30</v>
      </c>
      <c r="AV7" s="10">
        <f>(SUMPRODUCT(CMarks,CWeights,DWorth)+SUMPRODUCT(EMarks,EWeights,EDWorth))</f>
        <v>2.9048465608465572E-2</v>
      </c>
      <c r="AX7" s="6" t="s">
        <v>37</v>
      </c>
    </row>
    <row r="8" spans="2:50" ht="15">
      <c r="B8" s="16" t="s">
        <v>61</v>
      </c>
      <c r="C8" s="2">
        <v>1</v>
      </c>
      <c r="D8" s="2">
        <v>0.33333333333333298</v>
      </c>
      <c r="E8" s="1" t="s">
        <v>58</v>
      </c>
      <c r="F8" s="10">
        <f>VLOOKUP(E8,Modules,6,FALSE)/$V$3*Table2[[#This Row],[Module Worth]]</f>
        <v>1.5873015873015855E-2</v>
      </c>
      <c r="H8" s="5">
        <f>SUMPRODUCT($C$7:C8,$D$7:D8,$F$7:F8)/SUMPRODUCT($D$7:D8,$F$7:F8)</f>
        <v>0.9392131147540983</v>
      </c>
      <c r="Q8" s="16" t="s">
        <v>59</v>
      </c>
      <c r="R8" s="2">
        <v>1</v>
      </c>
      <c r="S8" s="2">
        <f>R8-SUMIF($E$7:$E$39,Q8,$D$7:$D$39)</f>
        <v>0</v>
      </c>
      <c r="T8" s="2">
        <f>(1-R8)-SUMIF($M$7:$M$39,Q8,$L$7:$L$39)</f>
        <v>0</v>
      </c>
      <c r="U8" s="2">
        <f t="shared" ref="U8:U14" si="1">1-S8-T8</f>
        <v>1</v>
      </c>
      <c r="V8" s="1">
        <v>6</v>
      </c>
      <c r="W8" s="1">
        <v>1</v>
      </c>
      <c r="X8" s="10">
        <f>SUMPRODUCT(--($E$7:$E$118=Q8),CMarks,CWeights)+SUMPRODUCT(--(ECodes=Q8),EWeights,EMarks)</f>
        <v>0.98333333333333228</v>
      </c>
      <c r="Y8" s="2">
        <f t="shared" ref="Y8:Y13" si="2">IF(S8+T8&lt;1,X8/(1-S8-T8),"N/A")</f>
        <v>0.98333333333333228</v>
      </c>
      <c r="Z8" s="11" t="str">
        <f t="shared" ref="Z8:Z13" si="3">IF((0.4-X8)&lt;0,"Passed",IF(T8+S8&gt;0,IF((0.4-X8)/(T8+S8)&lt;1,(0.4-X8)/(T8+S8),"Failed"),"Failed"))</f>
        <v>Passed</v>
      </c>
      <c r="AA8" s="8" t="str">
        <f t="shared" si="0"/>
        <v>Goal Hit</v>
      </c>
      <c r="AB8" s="7">
        <f t="shared" ref="AB8:AB13" si="4">X8+(1-U8)</f>
        <v>0.98333333333333228</v>
      </c>
      <c r="AC8" s="10">
        <f t="shared" ref="AC8:AC15" si="5">V8/$V$3</f>
        <v>4.7619047619047616E-2</v>
      </c>
      <c r="AD8" s="10">
        <f>Table1[[#This Row],[% of year]]*Table1[[#This Row],[Module Minimum Mark]]</f>
        <v>4.682539682539677E-2</v>
      </c>
      <c r="AE8" s="10"/>
      <c r="AG8" s="8"/>
      <c r="AH8" s="13" t="str">
        <f>IF(ISBLANK(AG8),"Input case",(1-U8)*AG8+X8)</f>
        <v>Input case</v>
      </c>
      <c r="AI8" s="8"/>
      <c r="AJ8" s="8"/>
      <c r="AK8" s="4">
        <f>(1-U8)*AI8+X8</f>
        <v>0.98333333333333228</v>
      </c>
      <c r="AL8" s="4">
        <f>(1-U8)*AJ8+X8</f>
        <v>0.98333333333333228</v>
      </c>
      <c r="AM8" s="4" t="str">
        <f>IF(OR(ISBLANK(AI8),ISBLANK(AJ8)),"Input Best and Worst Cases",(1-U8)*((1-AL4)*AI8+AJ8*AL4)+X8)</f>
        <v>Input Best and Worst Cases</v>
      </c>
      <c r="AN8" s="1">
        <f>IF(AM8="Input Best and Worst Cases",U8,1)</f>
        <v>1</v>
      </c>
      <c r="AP8" s="1">
        <v>2</v>
      </c>
      <c r="AQ8" s="12"/>
      <c r="AR8" s="12" t="str">
        <f>IF(SUMPRODUCT(--(Years=AP8),CATS)&gt;=120,SUMPRODUCT(--(Years=AP8),CATS,$U$7:$U$118)/SUMPRODUCT(--(Years=AP8),CATS),"Not enough CATS")</f>
        <v>Not enough CATS</v>
      </c>
      <c r="AS8" s="12">
        <f>IF(SUMPRODUCT(--(Years=AP8),CATS)&gt;120,SUMPRODUCT(--(Years=AP8),CATS,$AB$7:$AB$118)/SUMPRODUCT(--(Years=AP8),CATS),1)</f>
        <v>1</v>
      </c>
      <c r="AU8" s="1" t="s">
        <v>38</v>
      </c>
      <c r="AV8" s="10">
        <f>SUMPRODUCT(AQ7:AQ10,AR7:AR10)</f>
        <v>1.2380952380952383E-2</v>
      </c>
    </row>
    <row r="9" spans="2:50" ht="15">
      <c r="B9" s="16" t="s">
        <v>62</v>
      </c>
      <c r="C9" s="2">
        <v>1</v>
      </c>
      <c r="D9" s="2">
        <v>0.33333333333333298</v>
      </c>
      <c r="E9" s="1" t="s">
        <v>58</v>
      </c>
      <c r="F9" s="10">
        <f>VLOOKUP(E9,Modules,6,FALSE)/$V$3*Table2[[#This Row],[Module Worth]]</f>
        <v>1.5873015873015855E-2</v>
      </c>
      <c r="H9" s="5">
        <f>SUMPRODUCT($C$7:C9,$D$7:D9,$F$7:F9)/SUMPRODUCT($D$7:D9,$F$7:F9)</f>
        <v>0.95688372093023244</v>
      </c>
      <c r="Q9" s="16" t="s">
        <v>65</v>
      </c>
      <c r="R9" s="2">
        <v>1</v>
      </c>
      <c r="S9" s="2">
        <f>R9-SUMIF($E$7:$E$39,Q9,$D$7:$D$39)</f>
        <v>1</v>
      </c>
      <c r="T9" s="2">
        <f>(1-R9)-SUMIF($M$7:$M$39,Q9,$L$7:$L$39)</f>
        <v>0</v>
      </c>
      <c r="U9" s="2">
        <f t="shared" si="1"/>
        <v>0</v>
      </c>
      <c r="V9" s="1">
        <v>6</v>
      </c>
      <c r="W9" s="1">
        <v>1</v>
      </c>
      <c r="X9" s="10">
        <f>SUMPRODUCT(--($E$7:$E$118=Q9),CMarks,CWeights)+SUMPRODUCT(--(ECodes=Q9),EWeights,EMarks)</f>
        <v>0</v>
      </c>
      <c r="Y9" s="2" t="str">
        <f t="shared" si="2"/>
        <v>N/A</v>
      </c>
      <c r="Z9" s="11">
        <f t="shared" si="3"/>
        <v>0.4</v>
      </c>
      <c r="AA9" s="8">
        <f t="shared" si="0"/>
        <v>0.8</v>
      </c>
      <c r="AB9" s="7">
        <f t="shared" si="4"/>
        <v>1</v>
      </c>
      <c r="AC9" s="10">
        <f t="shared" si="5"/>
        <v>4.7619047619047616E-2</v>
      </c>
      <c r="AD9" s="10">
        <f>Table1[[#This Row],[% of year]]*Table1[[#This Row],[Module Minimum Mark]]</f>
        <v>0</v>
      </c>
      <c r="AE9" s="10"/>
      <c r="AG9" s="8"/>
      <c r="AH9" s="13" t="str">
        <f>IF(ISBLANK(AG9),"Input case",(1-U9)*AG9+X9)</f>
        <v>Input case</v>
      </c>
      <c r="AI9" s="8">
        <v>0.6</v>
      </c>
      <c r="AJ9" s="8">
        <v>0.84</v>
      </c>
      <c r="AK9" s="4">
        <f>(1-U9)*AI9+X9</f>
        <v>0.6</v>
      </c>
      <c r="AL9" s="4">
        <f>(1-U9)*AJ9+X9</f>
        <v>0.84</v>
      </c>
      <c r="AM9" s="4">
        <f>IF(OR(ISBLANK(AI9),ISBLANK(AJ9)),"Input Best and Worst Cases",(1-U9)*((1-AL3)*AI9+AJ9*AL3)+X9)</f>
        <v>0.72</v>
      </c>
      <c r="AN9" s="1">
        <f>IF(AM9="Input Best and Worst Cases",U9,1)</f>
        <v>1</v>
      </c>
      <c r="AP9" s="1">
        <v>3</v>
      </c>
      <c r="AQ9" s="12"/>
      <c r="AR9" s="12" t="str">
        <f>IF(SUMPRODUCT(--(Years=AP9),CATS)&gt;=120,SUMPRODUCT(--(Years=AP9),CATS,$U$7:$U$118)/SUMPRODUCT(--(Years=AP9),CATS),"Not enough CATS")</f>
        <v>Not enough CATS</v>
      </c>
      <c r="AS9" s="12">
        <f>IF(SUMPRODUCT(--(Years=AP9),CATS)&gt;120,SUMPRODUCT(--(Years=AP9),CATS,$AB$7:$AB$118)/SUMPRODUCT(--(Years=AP9),CATS),1)</f>
        <v>1</v>
      </c>
      <c r="AU9" s="1" t="s">
        <v>34</v>
      </c>
      <c r="AV9" s="2">
        <f>1-AV8+AV7</f>
        <v>1.0166675132275131</v>
      </c>
    </row>
    <row r="10" spans="2:50" ht="15">
      <c r="B10" s="16" t="s">
        <v>63</v>
      </c>
      <c r="C10" s="2">
        <v>0.95</v>
      </c>
      <c r="D10" s="2">
        <v>0.33333333333333298</v>
      </c>
      <c r="E10" s="1" t="s">
        <v>58</v>
      </c>
      <c r="F10" s="10">
        <f>VLOOKUP(E10,Modules,6,FALSE)/$V$3*Table2[[#This Row],[Module Worth]]</f>
        <v>1.5873015873015855E-2</v>
      </c>
      <c r="H10" s="5"/>
      <c r="Q10" s="16" t="s">
        <v>66</v>
      </c>
      <c r="R10" s="2">
        <v>1</v>
      </c>
      <c r="S10" s="2">
        <f>R10-SUMIF($E$7:$E$39,Q10,$D$7:$D$39)</f>
        <v>1</v>
      </c>
      <c r="T10" s="2">
        <f>(1-R10)-SUMIF($M$7:$M$39,Q10,$L$7:$L$39)</f>
        <v>0</v>
      </c>
      <c r="U10" s="2">
        <f t="shared" si="1"/>
        <v>0</v>
      </c>
      <c r="V10" s="1">
        <v>24</v>
      </c>
      <c r="W10" s="1">
        <v>1</v>
      </c>
      <c r="X10" s="10">
        <f>SUMPRODUCT(--($E$7:$E$118=Q10),CMarks,CWeights)+SUMPRODUCT(--(ECodes=Q10),EWeights,EMarks)</f>
        <v>0</v>
      </c>
      <c r="Y10" s="2" t="str">
        <f t="shared" si="2"/>
        <v>N/A</v>
      </c>
      <c r="Z10" s="11">
        <f t="shared" si="3"/>
        <v>0.4</v>
      </c>
      <c r="AA10" s="8">
        <f t="shared" si="0"/>
        <v>0.8</v>
      </c>
      <c r="AB10" s="7">
        <f t="shared" si="4"/>
        <v>1</v>
      </c>
      <c r="AC10" s="10">
        <f t="shared" si="5"/>
        <v>0.19047619047619047</v>
      </c>
      <c r="AD10" s="10">
        <f>Table1[[#This Row],[% of year]]*Table1[[#This Row],[Module Minimum Mark]]</f>
        <v>0</v>
      </c>
      <c r="AE10" s="10"/>
      <c r="AG10" s="8"/>
      <c r="AH10" s="13" t="str">
        <f>IF(ISBLANK(AG10),"Input case",(1-U10)*AG10+X10)</f>
        <v>Input case</v>
      </c>
      <c r="AI10" s="8"/>
      <c r="AJ10" s="8"/>
      <c r="AK10" s="4">
        <f>(1-U10)*AI10+X10</f>
        <v>0</v>
      </c>
      <c r="AL10" s="4">
        <f>(1-U10)*AJ10+X10</f>
        <v>0</v>
      </c>
      <c r="AM10" s="4" t="str">
        <f>IF(OR(ISBLANK(AI10),ISBLANK(AJ10)),"Input Best and Worst Cases",(1-U10)*((1-AM6)*AI10+AJ10*AM6)+X10)</f>
        <v>Input Best and Worst Cases</v>
      </c>
      <c r="AN10" s="1">
        <f>IF(AM10="Input Best and Worst Cases",U10,1)</f>
        <v>0</v>
      </c>
      <c r="AP10" s="1">
        <v>4</v>
      </c>
      <c r="AQ10" s="12"/>
      <c r="AR10" s="12" t="str">
        <f>IF(SUMPRODUCT(--(Years=AP10),CATS)&gt;=120,SUMPRODUCT(--(Years=AP10),CATS,$U$7:$U$118)/SUMPRODUCT(--(Years=AP10),CATS),"Not enough CATS")</f>
        <v>Not enough CATS</v>
      </c>
      <c r="AS10" s="12">
        <f>IF(SUMPRODUCT(--(Years=AP10),CATS)&gt;120,SUMPRODUCT(--(Years=AP10),CATS,$AB$7:$AB$118)/SUMPRODUCT(--(Years=AP10),CATS),1)</f>
        <v>1</v>
      </c>
    </row>
    <row r="11" spans="2:50" ht="15">
      <c r="B11" s="16" t="s">
        <v>64</v>
      </c>
      <c r="C11" s="2">
        <v>0.86699999999999999</v>
      </c>
      <c r="D11" s="2">
        <v>0.2</v>
      </c>
      <c r="E11" s="1" t="s">
        <v>56</v>
      </c>
      <c r="F11" s="10">
        <f>VLOOKUP(E11,Modules,6,FALSE)/$V$3*Table2[[#This Row],[Module Worth]]</f>
        <v>3.8095238095238099E-2</v>
      </c>
      <c r="H11" s="5"/>
      <c r="Q11" s="16" t="s">
        <v>67</v>
      </c>
      <c r="R11" s="2">
        <v>0</v>
      </c>
      <c r="S11" s="2">
        <f>R11-SUMIF($E$7:$E$39,Q11,$D$7:$D$39)</f>
        <v>0</v>
      </c>
      <c r="T11" s="2">
        <f>(1-R11)-SUMIF($M$7:$M$39,Q11,$L$7:$L$39)</f>
        <v>1</v>
      </c>
      <c r="U11" s="2">
        <f t="shared" si="1"/>
        <v>0</v>
      </c>
      <c r="V11" s="1">
        <v>12</v>
      </c>
      <c r="W11" s="1">
        <v>1</v>
      </c>
      <c r="X11" s="10">
        <f>SUMPRODUCT(--($E$7:$E$118=Q11),CMarks,CWeights)+SUMPRODUCT(--(ECodes=Q11),EWeights,EMarks)</f>
        <v>0</v>
      </c>
      <c r="Y11" s="2" t="str">
        <f t="shared" si="2"/>
        <v>N/A</v>
      </c>
      <c r="Z11" s="11">
        <f t="shared" si="3"/>
        <v>0.4</v>
      </c>
      <c r="AA11" s="8">
        <f t="shared" si="0"/>
        <v>0.8</v>
      </c>
      <c r="AB11" s="7">
        <f t="shared" si="4"/>
        <v>1</v>
      </c>
      <c r="AC11" s="10">
        <f t="shared" si="5"/>
        <v>9.5238095238095233E-2</v>
      </c>
      <c r="AD11" s="10">
        <f>Table1[[#This Row],[% of year]]*Table1[[#This Row],[Module Minimum Mark]]</f>
        <v>0</v>
      </c>
      <c r="AE11" s="10"/>
      <c r="AG11" s="8"/>
      <c r="AH11" s="13" t="str">
        <f>IF(ISBLANK(AG11),"Input case",(1-U11)*AG11+X11)</f>
        <v>Input case</v>
      </c>
      <c r="AI11" s="8"/>
      <c r="AJ11" s="8"/>
      <c r="AK11" s="4">
        <f>(1-U11)*AI11+X11</f>
        <v>0</v>
      </c>
      <c r="AL11" s="4">
        <f>(1-U11)*AJ11+X11</f>
        <v>0</v>
      </c>
      <c r="AM11" s="4" t="str">
        <f>IF(OR(ISBLANK(AI11),ISBLANK(AJ11)),"Input Best and Worst Cases",(1-U11)*((1-AM7)*AI11+AJ11*AM7)+X11)</f>
        <v>Input Best and Worst Cases</v>
      </c>
      <c r="AN11" s="1">
        <f>IF(AM11="Input Best and Worst Cases",U11,1)</f>
        <v>0</v>
      </c>
    </row>
    <row r="12" spans="2:50" ht="15">
      <c r="F12" s="10"/>
      <c r="H12" s="5"/>
      <c r="Q12" s="16" t="s">
        <v>68</v>
      </c>
      <c r="R12" s="2">
        <v>1</v>
      </c>
      <c r="S12" s="2">
        <f>R12-SUMIF($E$7:$E$39,Q12,$D$7:$D$39)</f>
        <v>1</v>
      </c>
      <c r="T12" s="2">
        <f>(1-R12)-SUMIF($M$7:$M$39,Q12,$L$7:$L$39)</f>
        <v>0</v>
      </c>
      <c r="U12" s="2">
        <f t="shared" si="1"/>
        <v>0</v>
      </c>
      <c r="V12" s="1">
        <v>12</v>
      </c>
      <c r="W12" s="1">
        <v>1</v>
      </c>
      <c r="X12" s="10">
        <f>SUMPRODUCT(--($E$7:$E$118=Q12),CMarks,CWeights)+SUMPRODUCT(--(ECodes=Q12),EWeights,EMarks)</f>
        <v>0</v>
      </c>
      <c r="Y12" s="2" t="str">
        <f t="shared" si="2"/>
        <v>N/A</v>
      </c>
      <c r="Z12" s="11">
        <f t="shared" si="3"/>
        <v>0.4</v>
      </c>
      <c r="AA12" s="8">
        <f t="shared" si="0"/>
        <v>0.8</v>
      </c>
      <c r="AB12" s="7">
        <f t="shared" si="4"/>
        <v>1</v>
      </c>
      <c r="AC12" s="10">
        <f t="shared" si="5"/>
        <v>9.5238095238095233E-2</v>
      </c>
      <c r="AD12" s="10">
        <f>Table1[[#This Row],[% of year]]*Table1[[#This Row],[Module Minimum Mark]]</f>
        <v>0</v>
      </c>
      <c r="AE12" s="10"/>
      <c r="AG12" s="8"/>
      <c r="AH12" s="13" t="str">
        <f>IF(ISBLANK(AG12),"Input case",(1-U12)*AG12+X12)</f>
        <v>Input case</v>
      </c>
      <c r="AI12" s="8"/>
      <c r="AJ12" s="8"/>
      <c r="AK12" s="4">
        <f>(1-U12)*AI12+X12</f>
        <v>0</v>
      </c>
      <c r="AL12" s="4">
        <f>(1-U12)*AJ12+X12</f>
        <v>0</v>
      </c>
      <c r="AM12" s="4" t="str">
        <f>IF(OR(ISBLANK(AI12),ISBLANK(AJ12)),"Input Best and Worst Cases",(1-U12)*((1-AM8)*AI12+AJ12*AM8)+X12)</f>
        <v>Input Best and Worst Cases</v>
      </c>
      <c r="AN12" s="1">
        <f>IF(AM12="Input Best and Worst Cases",U12,1)</f>
        <v>0</v>
      </c>
    </row>
    <row r="13" spans="2:50" ht="15">
      <c r="F13" s="10"/>
      <c r="H13" s="5"/>
      <c r="Q13" s="16" t="s">
        <v>69</v>
      </c>
      <c r="R13" s="2">
        <v>0</v>
      </c>
      <c r="S13" s="2">
        <f>R13-SUMIF($E$7:$E$39,Q13,$D$7:$D$39)</f>
        <v>0</v>
      </c>
      <c r="T13" s="2">
        <f>(1-R13)-SUMIF($M$7:$M$39,Q13,$L$7:$L$39)</f>
        <v>1</v>
      </c>
      <c r="U13" s="2">
        <f t="shared" si="1"/>
        <v>0</v>
      </c>
      <c r="V13" s="1">
        <v>18</v>
      </c>
      <c r="W13" s="1">
        <v>1</v>
      </c>
      <c r="X13" s="10">
        <f>SUMPRODUCT(--($E$7:$E$118=Q13),CMarks,CWeights)+SUMPRODUCT(--(ECodes=Q13),EWeights,EMarks)</f>
        <v>0</v>
      </c>
      <c r="Y13" s="2" t="str">
        <f t="shared" si="2"/>
        <v>N/A</v>
      </c>
      <c r="Z13" s="11">
        <f t="shared" si="3"/>
        <v>0.4</v>
      </c>
      <c r="AA13" s="8">
        <f t="shared" si="0"/>
        <v>0.8</v>
      </c>
      <c r="AB13" s="7">
        <f t="shared" si="4"/>
        <v>1</v>
      </c>
      <c r="AC13" s="10">
        <f t="shared" si="5"/>
        <v>0.14285714285714285</v>
      </c>
      <c r="AD13" s="10">
        <f>Table1[[#This Row],[% of year]]*Table1[[#This Row],[Module Minimum Mark]]</f>
        <v>0</v>
      </c>
      <c r="AE13" s="10"/>
      <c r="AG13" s="8"/>
      <c r="AH13" s="13" t="str">
        <f>IF(ISBLANK(AG13),"Input case",(1-U13)*AG13+X13)</f>
        <v>Input case</v>
      </c>
      <c r="AI13" s="8"/>
      <c r="AJ13" s="8"/>
      <c r="AK13" s="4">
        <f>(1-U13)*AI13+X13</f>
        <v>0</v>
      </c>
      <c r="AL13" s="4">
        <f>(1-U13)*AJ13+X13</f>
        <v>0</v>
      </c>
      <c r="AM13" s="4" t="str">
        <f>IF(OR(ISBLANK(AI13),ISBLANK(AJ13)),"Input Best and Worst Cases",(1-U13)*((1-AM9)*AI13+AJ13*AM9)+X13)</f>
        <v>Input Best and Worst Cases</v>
      </c>
      <c r="AN13" s="1">
        <f>IF(AM13="Input Best and Worst Cases",U13,1)</f>
        <v>0</v>
      </c>
    </row>
    <row r="14" spans="2:50" ht="15">
      <c r="F14" s="10"/>
      <c r="H14" s="5"/>
      <c r="Q14" s="16" t="s">
        <v>70</v>
      </c>
      <c r="R14" s="2">
        <v>0</v>
      </c>
      <c r="S14" s="2">
        <f>R14-SUMIF($E$7:$E$39,Q14,$D$7:$D$39)</f>
        <v>0</v>
      </c>
      <c r="T14" s="2">
        <f>(1-R14)-SUMIF($M$7:$M$39,Q14,$L$7:$L$39)</f>
        <v>1</v>
      </c>
      <c r="U14" s="2">
        <f t="shared" si="1"/>
        <v>0</v>
      </c>
      <c r="V14" s="1">
        <v>12</v>
      </c>
      <c r="W14" s="1">
        <v>1</v>
      </c>
      <c r="X14" s="10">
        <f>SUMPRODUCT(--($E$7:$E$118=Q14),CMarks,CWeights)+SUMPRODUCT(--(ECodes=Q14),EWeights,EMarks)</f>
        <v>0</v>
      </c>
      <c r="Y14" s="2" t="str">
        <f t="shared" ref="Y14:Y15" si="6">IF(S14+T14&lt;1,X14/(1-S14-T14),"N/A")</f>
        <v>N/A</v>
      </c>
      <c r="Z14" s="11">
        <f t="shared" ref="Z14:Z15" si="7">IF((0.4-X14)&lt;0,"Passed",IF(T14+S14&gt;0,IF((0.4-X14)/(T14+S14)&lt;1,(0.4-X14)/(T14+S14),"Failed"),"Failed"))</f>
        <v>0.4</v>
      </c>
      <c r="AA14" s="8">
        <f t="shared" ref="AA14:AA15" si="8">IF(($AB$3-X14)&lt;0,"Goal Hit",IF(T14+S14&gt;0,IF(($AB$3-X14)/(T14+S14)&lt;1,($AB$3-X14)/(T14+S14),"Goal Miss"),"Goal Miss"))</f>
        <v>0.8</v>
      </c>
      <c r="AB14" s="7">
        <f t="shared" ref="AB14:AB15" si="9">X14+(1-U14)</f>
        <v>1</v>
      </c>
      <c r="AC14" s="10">
        <f t="shared" si="5"/>
        <v>9.5238095238095233E-2</v>
      </c>
      <c r="AD14" s="10">
        <f>Table1[[#This Row],[% of year]]*Table1[[#This Row],[Module Minimum Mark]]</f>
        <v>0</v>
      </c>
      <c r="AE14" s="10"/>
      <c r="AG14" s="8"/>
      <c r="AH14" s="13" t="str">
        <f>IF(ISBLANK(AG14),"Input case",(1-U14)*AG14+X14)</f>
        <v>Input case</v>
      </c>
      <c r="AI14" s="8"/>
      <c r="AJ14" s="8"/>
      <c r="AK14" s="4">
        <f>(1-U14)*AI14+X14</f>
        <v>0</v>
      </c>
      <c r="AL14" s="4">
        <f>(1-U14)*AJ14+X14</f>
        <v>0</v>
      </c>
      <c r="AM14" s="4" t="str">
        <f>IF(OR(ISBLANK(AI14),ISBLANK(AJ14)),"Input Best and Worst Cases",(1-U14)*((1-AM10)*AI14+AJ14*AM10)+X14)</f>
        <v>Input Best and Worst Cases</v>
      </c>
      <c r="AN14" s="1">
        <f>IF(AM14="Input Best and Worst Cases",U14,1)</f>
        <v>0</v>
      </c>
    </row>
    <row r="15" spans="2:50" ht="15">
      <c r="F15" s="10"/>
      <c r="H15" s="5"/>
      <c r="Q15" s="16" t="s">
        <v>71</v>
      </c>
      <c r="R15" s="2">
        <v>0</v>
      </c>
      <c r="S15" s="2">
        <f>R15-SUMIF($E$7:$E$39,Q15,$D$7:$D$39)</f>
        <v>0</v>
      </c>
      <c r="T15" s="2">
        <f>(1-R15)-SUMIF($M$7:$M$39,Q15,$L$7:$L$39)</f>
        <v>1</v>
      </c>
      <c r="U15" s="2">
        <f t="shared" ref="U15" si="10">1-S15-T15</f>
        <v>0</v>
      </c>
      <c r="V15" s="1">
        <v>12</v>
      </c>
      <c r="W15" s="1">
        <v>1</v>
      </c>
      <c r="X15" s="10">
        <f>SUMPRODUCT(--($E$7:$E$118=Q15),CMarks,CWeights)+SUMPRODUCT(--(ECodes=Q15),EWeights,EMarks)</f>
        <v>0</v>
      </c>
      <c r="Y15" s="2" t="str">
        <f t="shared" si="6"/>
        <v>N/A</v>
      </c>
      <c r="Z15" s="11">
        <f t="shared" si="7"/>
        <v>0.4</v>
      </c>
      <c r="AA15" s="8">
        <f t="shared" si="8"/>
        <v>0.8</v>
      </c>
      <c r="AB15" s="7">
        <f t="shared" si="9"/>
        <v>1</v>
      </c>
      <c r="AC15" s="10">
        <f t="shared" si="5"/>
        <v>9.5238095238095233E-2</v>
      </c>
      <c r="AD15" s="10">
        <f>Table1[[#This Row],[% of year]]*Table1[[#This Row],[Module Minimum Mark]]</f>
        <v>0</v>
      </c>
      <c r="AE15" s="10"/>
      <c r="AG15" s="8"/>
      <c r="AH15" s="13" t="str">
        <f>IF(ISBLANK(AG15),"Input case",(1-U15)*AG15+X15)</f>
        <v>Input case</v>
      </c>
      <c r="AI15" s="8"/>
      <c r="AJ15" s="8"/>
      <c r="AK15" s="4">
        <f>(1-U15)*AI15+X15</f>
        <v>0</v>
      </c>
      <c r="AL15" s="4">
        <f>(1-U15)*AJ15+X15</f>
        <v>0</v>
      </c>
      <c r="AM15" s="4" t="str">
        <f>IF(OR(ISBLANK(AI15),ISBLANK(AJ15)),"Input Best and Worst Cases",(1-U15)*((1-AM11)*AI15+AJ15*AM11)+X15)</f>
        <v>Input Best and Worst Cases</v>
      </c>
      <c r="AN15" s="1">
        <f>IF(AM15="Input Best and Worst Cases",U15,1)</f>
        <v>0</v>
      </c>
    </row>
    <row r="16" spans="2:50">
      <c r="F16" s="10"/>
      <c r="H16" s="5"/>
      <c r="X16" s="10"/>
      <c r="Y16" s="2"/>
      <c r="Z16" s="11"/>
      <c r="AA16" s="8"/>
      <c r="AB16" s="7"/>
      <c r="AH16" s="8"/>
      <c r="AI16" s="8"/>
    </row>
    <row r="17" spans="6:59">
      <c r="F17" s="10"/>
      <c r="H17" s="5"/>
      <c r="O17" s="3"/>
      <c r="X17" s="10"/>
      <c r="Y17" s="2"/>
      <c r="Z17" s="11"/>
      <c r="AA17" s="8"/>
      <c r="AB17" s="7"/>
      <c r="AH17" s="8"/>
      <c r="AI17" s="8"/>
    </row>
    <row r="18" spans="6:59">
      <c r="F18" s="10"/>
      <c r="H18" s="5"/>
      <c r="O18" s="3"/>
      <c r="S18" s="1" t="s">
        <v>55</v>
      </c>
      <c r="X18" s="10"/>
      <c r="Y18" s="2"/>
      <c r="Z18" s="11"/>
      <c r="AA18" s="8"/>
      <c r="AB18" s="7"/>
      <c r="AH18" s="8"/>
      <c r="AI18" s="8"/>
    </row>
    <row r="19" spans="6:59">
      <c r="F19" s="10"/>
      <c r="H19" s="5"/>
      <c r="O19" s="3"/>
      <c r="X19" s="10"/>
      <c r="Y19" s="2"/>
      <c r="Z19" s="11"/>
      <c r="AA19" s="8"/>
      <c r="AB19" s="7"/>
      <c r="AH19" s="8"/>
      <c r="AI19" s="8"/>
    </row>
    <row r="20" spans="6:59">
      <c r="F20" s="10"/>
      <c r="H20" s="5"/>
      <c r="O20" s="3"/>
      <c r="X20" s="10"/>
      <c r="Y20" s="14"/>
      <c r="Z20" s="15"/>
      <c r="AA20" s="8"/>
      <c r="AB20" s="7"/>
      <c r="AH20" s="8"/>
      <c r="AI20" s="8"/>
      <c r="BB20" s="1" t="s">
        <v>7</v>
      </c>
      <c r="BC20" s="2">
        <v>0.79</v>
      </c>
      <c r="BD20" s="2">
        <v>0.8</v>
      </c>
      <c r="BE20" s="2" t="s">
        <v>7</v>
      </c>
      <c r="BF20" s="9">
        <f t="shared" ref="BF20:BF26" si="11">VLOOKUP(VLOOKUP(BE20,Modules,7),YearTable,2)/SUMPRODUCT(CATS,--(VLOOKUP(BE20,Modules,7)=Years))*VLOOKUP(BE20,Modules,6)</f>
        <v>9.5238095238095247E-3</v>
      </c>
    </row>
    <row r="21" spans="6:59">
      <c r="F21" s="10"/>
      <c r="H21" s="5"/>
      <c r="O21" s="3"/>
      <c r="X21" s="10"/>
      <c r="Y21" s="14"/>
      <c r="Z21" s="15"/>
      <c r="AA21" s="8"/>
      <c r="AB21" s="7"/>
      <c r="AH21" s="8"/>
      <c r="AI21" s="8"/>
      <c r="BB21" s="1" t="s">
        <v>12</v>
      </c>
      <c r="BC21" s="2">
        <v>0.79</v>
      </c>
      <c r="BD21" s="2">
        <v>0.5</v>
      </c>
      <c r="BE21" s="2" t="s">
        <v>12</v>
      </c>
      <c r="BF21" s="9">
        <f t="shared" si="11"/>
        <v>9.5238095238095247E-3</v>
      </c>
      <c r="BG21" s="3"/>
    </row>
    <row r="22" spans="6:59">
      <c r="H22" s="5"/>
      <c r="O22" s="3"/>
      <c r="X22" s="10"/>
      <c r="Y22" s="14"/>
      <c r="Z22" s="15"/>
      <c r="AA22" s="8"/>
      <c r="AB22" s="7"/>
      <c r="AH22" s="8"/>
      <c r="AI22" s="8"/>
      <c r="BB22" s="1" t="s">
        <v>10</v>
      </c>
      <c r="BC22" s="2">
        <v>0.79</v>
      </c>
      <c r="BD22" s="2">
        <v>0.6</v>
      </c>
      <c r="BE22" s="2" t="s">
        <v>10</v>
      </c>
      <c r="BF22" s="9">
        <f t="shared" si="11"/>
        <v>9.5238095238095247E-3</v>
      </c>
      <c r="BG22" s="3"/>
    </row>
    <row r="23" spans="6:59">
      <c r="H23" s="5"/>
      <c r="O23" s="3"/>
      <c r="X23" s="10"/>
      <c r="Y23" s="14"/>
      <c r="Z23" s="15"/>
      <c r="AA23" s="8"/>
      <c r="AB23" s="7"/>
      <c r="AH23" s="8"/>
      <c r="AI23" s="8"/>
      <c r="BB23" s="1" t="s">
        <v>8</v>
      </c>
      <c r="BC23" s="2">
        <v>0.79</v>
      </c>
      <c r="BD23" s="2">
        <v>0.6</v>
      </c>
      <c r="BE23" s="2" t="s">
        <v>8</v>
      </c>
      <c r="BF23" s="9">
        <f t="shared" si="11"/>
        <v>9.5238095238095247E-3</v>
      </c>
      <c r="BG23" s="3"/>
    </row>
    <row r="24" spans="6:59">
      <c r="H24" s="5"/>
      <c r="O24" s="3"/>
      <c r="X24" s="10"/>
      <c r="Y24" s="14"/>
      <c r="Z24" s="15"/>
      <c r="AA24" s="8"/>
      <c r="AB24" s="7"/>
      <c r="AH24" s="8"/>
      <c r="AI24" s="8"/>
      <c r="BB24" s="1" t="s">
        <v>9</v>
      </c>
      <c r="BC24" s="2">
        <v>0.79</v>
      </c>
      <c r="BD24" s="2">
        <v>0.8</v>
      </c>
      <c r="BE24" s="2" t="s">
        <v>9</v>
      </c>
      <c r="BF24" s="9">
        <f t="shared" si="11"/>
        <v>9.5238095238095247E-3</v>
      </c>
      <c r="BG24" s="3"/>
    </row>
    <row r="25" spans="6:59">
      <c r="H25" s="5"/>
      <c r="O25" s="3"/>
      <c r="X25" s="10"/>
      <c r="Y25" s="14"/>
      <c r="Z25" s="15"/>
      <c r="AA25" s="8"/>
      <c r="AB25" s="7"/>
      <c r="AH25" s="8"/>
      <c r="AI25" s="8"/>
      <c r="BB25" s="1" t="s">
        <v>11</v>
      </c>
      <c r="BC25" s="2">
        <v>0.79</v>
      </c>
      <c r="BD25" s="2">
        <v>0.6</v>
      </c>
      <c r="BE25" s="2" t="s">
        <v>11</v>
      </c>
      <c r="BF25" s="9">
        <f t="shared" si="11"/>
        <v>9.5238095238095247E-3</v>
      </c>
      <c r="BG25" s="3"/>
    </row>
    <row r="26" spans="6:59">
      <c r="H26" s="5"/>
      <c r="O26" s="3"/>
      <c r="X26" s="10"/>
      <c r="Y26" s="14"/>
      <c r="Z26" s="15"/>
      <c r="AA26" s="8"/>
      <c r="AB26" s="7"/>
      <c r="AH26" s="8"/>
      <c r="AI26" s="8"/>
      <c r="BB26" s="1" t="s">
        <v>54</v>
      </c>
      <c r="BC26" s="2">
        <v>0.79</v>
      </c>
      <c r="BD26" s="2">
        <v>0.3</v>
      </c>
      <c r="BE26" s="2" t="s">
        <v>41</v>
      </c>
      <c r="BF26" s="9">
        <f t="shared" si="11"/>
        <v>9.5238095238095247E-3</v>
      </c>
      <c r="BG26" s="3"/>
    </row>
    <row r="27" spans="6:59">
      <c r="H27" s="5"/>
      <c r="I27" s="6" t="s">
        <v>40</v>
      </c>
      <c r="O27" s="3"/>
      <c r="X27" s="10"/>
      <c r="Y27" s="14"/>
      <c r="Z27" s="15"/>
      <c r="AA27" s="8"/>
      <c r="AB27" s="7"/>
      <c r="AH27" s="8"/>
      <c r="AI27" s="8"/>
      <c r="BC27" s="2"/>
      <c r="BD27" s="2"/>
      <c r="BE27" s="2"/>
      <c r="BF27" s="2"/>
      <c r="BG27" s="3"/>
    </row>
    <row r="28" spans="6:59">
      <c r="H28" s="5"/>
      <c r="O28" s="3"/>
      <c r="X28" s="10"/>
      <c r="Y28" s="14"/>
      <c r="Z28" s="15"/>
      <c r="AA28" s="8"/>
      <c r="AB28" s="7"/>
      <c r="AH28" s="8"/>
      <c r="AI28" s="8"/>
      <c r="BC28" s="2"/>
      <c r="BD28" s="2"/>
      <c r="BE28" s="2"/>
      <c r="BF28" s="2"/>
      <c r="BG28" s="3"/>
    </row>
    <row r="29" spans="6:59">
      <c r="O29" s="3"/>
      <c r="X29" s="10"/>
      <c r="Y29" s="14"/>
      <c r="Z29" s="15"/>
      <c r="AA29" s="8"/>
      <c r="AB29" s="7"/>
      <c r="AH29" s="8"/>
      <c r="AI29" s="8"/>
      <c r="BC29" s="2"/>
      <c r="BD29" s="2"/>
      <c r="BE29" s="2"/>
      <c r="BF29" s="2"/>
      <c r="BG29" s="3"/>
    </row>
    <row r="30" spans="6:59">
      <c r="O30" s="3"/>
      <c r="X30" s="10"/>
      <c r="Y30" s="14"/>
      <c r="Z30" s="15"/>
      <c r="AA30" s="8"/>
      <c r="AB30" s="8"/>
      <c r="AH30" s="8"/>
      <c r="AI30" s="8"/>
    </row>
    <row r="31" spans="6:59">
      <c r="O31" s="3"/>
      <c r="X31" s="10"/>
      <c r="Y31" s="14"/>
      <c r="Z31" s="15"/>
      <c r="AA31" s="8"/>
      <c r="AB31" s="8"/>
      <c r="AH31" s="8"/>
      <c r="AI31" s="8"/>
    </row>
    <row r="32" spans="6:59">
      <c r="O32" s="3"/>
      <c r="X32" s="10"/>
      <c r="Y32" s="14"/>
      <c r="Z32" s="15"/>
      <c r="AA32" s="8"/>
      <c r="AB32" s="8"/>
      <c r="AH32" s="8"/>
      <c r="AI32" s="8"/>
    </row>
    <row r="33" spans="15:35">
      <c r="O33" s="3"/>
      <c r="X33" s="10"/>
      <c r="Y33" s="14"/>
      <c r="Z33" s="15"/>
      <c r="AA33" s="8"/>
      <c r="AB33" s="8"/>
      <c r="AH33" s="8"/>
      <c r="AI33" s="8"/>
    </row>
    <row r="34" spans="15:35">
      <c r="O34" s="3"/>
      <c r="X34" s="10"/>
      <c r="Y34" s="14"/>
      <c r="Z34" s="15"/>
      <c r="AA34" s="8"/>
      <c r="AB34" s="8"/>
      <c r="AH34" s="8"/>
      <c r="AI34" s="8"/>
    </row>
    <row r="35" spans="15:35">
      <c r="O35" s="3"/>
      <c r="X35" s="10"/>
      <c r="Y35" s="14"/>
      <c r="Z35" s="15"/>
      <c r="AA35" s="8"/>
      <c r="AB35" s="8"/>
      <c r="AH35" s="8"/>
      <c r="AI35" s="8"/>
    </row>
    <row r="36" spans="15:35">
      <c r="O36" s="3"/>
      <c r="X36" s="10"/>
      <c r="Y36" s="14"/>
      <c r="Z36" s="15"/>
      <c r="AA36" s="8"/>
      <c r="AB36" s="8"/>
      <c r="AH36" s="8"/>
      <c r="AI36" s="8"/>
    </row>
    <row r="37" spans="15:35">
      <c r="O37" s="3"/>
      <c r="X37" s="10"/>
      <c r="Y37" s="14"/>
      <c r="Z37" s="15"/>
      <c r="AA37" s="8"/>
      <c r="AB37" s="8"/>
      <c r="AH37" s="8"/>
      <c r="AI37" s="8"/>
    </row>
    <row r="38" spans="15:35">
      <c r="O38" s="3"/>
      <c r="X38" s="10"/>
      <c r="Y38" s="14"/>
      <c r="Z38" s="15"/>
      <c r="AA38" s="8"/>
      <c r="AB38" s="8"/>
      <c r="AG38" s="5">
        <f>SUM(Table1[Marks already secured])</f>
        <v>0.11402539682539677</v>
      </c>
      <c r="AH38" s="8"/>
      <c r="AI38" s="8"/>
    </row>
    <row r="39" spans="15:35">
      <c r="O39" s="3"/>
      <c r="X39" s="10"/>
      <c r="Y39" s="14"/>
      <c r="Z39" s="15"/>
      <c r="AA39" s="8"/>
      <c r="AB39" s="8"/>
      <c r="AH39" s="8"/>
      <c r="AI39" s="8"/>
    </row>
    <row r="40" spans="15:35">
      <c r="O40" s="3"/>
      <c r="X40" s="10"/>
      <c r="Y40" s="14"/>
      <c r="Z40" s="15"/>
      <c r="AA40" s="8"/>
      <c r="AB40" s="8"/>
      <c r="AH40" s="8"/>
      <c r="AI40" s="8"/>
    </row>
    <row r="41" spans="15:35">
      <c r="O41" s="3"/>
      <c r="X41" s="10"/>
      <c r="Y41" s="14"/>
      <c r="Z41" s="15"/>
      <c r="AA41" s="8"/>
      <c r="AB41" s="8"/>
      <c r="AH41" s="8"/>
      <c r="AI41" s="8"/>
    </row>
    <row r="42" spans="15:35">
      <c r="O42" s="3"/>
      <c r="X42" s="10"/>
      <c r="Y42" s="14"/>
      <c r="Z42" s="15"/>
      <c r="AA42" s="8"/>
      <c r="AB42" s="8"/>
      <c r="AH42" s="8"/>
      <c r="AI42" s="8"/>
    </row>
    <row r="43" spans="15:35">
      <c r="O43" s="3"/>
      <c r="X43" s="10"/>
      <c r="Y43" s="14"/>
      <c r="Z43" s="15"/>
      <c r="AA43" s="8"/>
      <c r="AB43" s="8"/>
      <c r="AH43" s="8"/>
      <c r="AI43" s="8"/>
    </row>
    <row r="44" spans="15:35">
      <c r="O44" s="3"/>
      <c r="X44" s="10"/>
      <c r="Y44" s="14"/>
      <c r="Z44" s="15"/>
      <c r="AA44" s="8"/>
      <c r="AB44" s="8"/>
      <c r="AH44" s="8"/>
      <c r="AI44" s="8"/>
    </row>
    <row r="45" spans="15:35">
      <c r="O45" s="3"/>
      <c r="X45" s="10"/>
      <c r="Y45" s="14"/>
      <c r="Z45" s="15"/>
      <c r="AA45" s="8"/>
      <c r="AB45" s="8"/>
      <c r="AD45" s="5">
        <f>$AG$38/$AB$53</f>
        <v>0.92097435897435842</v>
      </c>
      <c r="AH45" s="8"/>
      <c r="AI45" s="8"/>
    </row>
    <row r="46" spans="15:35">
      <c r="O46" s="3"/>
      <c r="X46" s="10"/>
      <c r="Y46" s="13"/>
      <c r="Z46" s="15"/>
      <c r="AA46" s="8"/>
      <c r="AB46" s="8"/>
      <c r="AH46" s="8"/>
      <c r="AI46" s="8"/>
    </row>
    <row r="47" spans="15:35">
      <c r="O47" s="3"/>
      <c r="X47" s="10"/>
      <c r="Y47" s="13"/>
      <c r="Z47" s="15"/>
      <c r="AA47" s="8"/>
      <c r="AB47" s="8"/>
      <c r="AH47" s="8"/>
      <c r="AI47" s="8"/>
    </row>
    <row r="48" spans="15:35">
      <c r="O48" s="3"/>
      <c r="X48" s="10"/>
      <c r="Y48" s="13"/>
      <c r="Z48" s="15"/>
      <c r="AA48" s="8"/>
      <c r="AB48" s="8"/>
      <c r="AH48" s="8"/>
      <c r="AI48" s="8"/>
    </row>
    <row r="49" spans="15:35">
      <c r="O49" s="3"/>
      <c r="X49" s="10"/>
      <c r="Y49" s="13"/>
      <c r="Z49" s="15"/>
      <c r="AA49" s="8"/>
      <c r="AB49" s="8"/>
      <c r="AH49" s="8"/>
      <c r="AI49" s="8"/>
    </row>
    <row r="50" spans="15:35">
      <c r="O50" s="3"/>
      <c r="Z50" s="15"/>
      <c r="AA50" s="8"/>
      <c r="AB50" s="8"/>
      <c r="AH50" s="8"/>
      <c r="AI50" s="8"/>
    </row>
    <row r="51" spans="15:35">
      <c r="O51" s="3"/>
      <c r="AH51" s="8"/>
      <c r="AI51" s="8"/>
    </row>
    <row r="52" spans="15:35">
      <c r="O52" s="3"/>
      <c r="AH52" s="8"/>
      <c r="AI52" s="8"/>
    </row>
    <row r="53" spans="15:35" ht="15">
      <c r="O53" s="3"/>
      <c r="Z53" s="5">
        <f>U7*AC7</f>
        <v>7.6190476190476197E-2</v>
      </c>
      <c r="AA53" s="16" t="s">
        <v>77</v>
      </c>
      <c r="AB53" s="5">
        <f>SUM(Z53:Z74)</f>
        <v>0.12380952380952381</v>
      </c>
      <c r="AH53" s="8"/>
      <c r="AI53" s="8"/>
    </row>
    <row r="54" spans="15:35">
      <c r="O54" s="3"/>
      <c r="Z54" s="5">
        <f t="shared" ref="Z54:Z74" si="12">U8*AC8</f>
        <v>4.7619047619047616E-2</v>
      </c>
      <c r="AH54" s="8"/>
      <c r="AI54" s="8"/>
    </row>
    <row r="55" spans="15:35">
      <c r="O55" s="3"/>
      <c r="Z55" s="5">
        <f t="shared" si="12"/>
        <v>0</v>
      </c>
      <c r="AH55" s="8"/>
      <c r="AI55" s="8"/>
    </row>
    <row r="56" spans="15:35">
      <c r="O56" s="3"/>
      <c r="Z56" s="5">
        <f t="shared" si="12"/>
        <v>0</v>
      </c>
    </row>
    <row r="57" spans="15:35">
      <c r="Z57" s="5">
        <f t="shared" si="12"/>
        <v>0</v>
      </c>
    </row>
    <row r="58" spans="15:35">
      <c r="Z58" s="5">
        <f t="shared" si="12"/>
        <v>0</v>
      </c>
    </row>
    <row r="59" spans="15:35">
      <c r="Z59" s="5">
        <f t="shared" si="12"/>
        <v>0</v>
      </c>
    </row>
    <row r="60" spans="15:35">
      <c r="Z60" s="5">
        <f t="shared" si="12"/>
        <v>0</v>
      </c>
    </row>
    <row r="61" spans="15:35">
      <c r="Z61" s="5">
        <f t="shared" si="12"/>
        <v>0</v>
      </c>
    </row>
    <row r="62" spans="15:35">
      <c r="Z62" s="5">
        <f t="shared" si="12"/>
        <v>0</v>
      </c>
    </row>
    <row r="63" spans="15:35">
      <c r="Z63" s="5">
        <f t="shared" si="12"/>
        <v>0</v>
      </c>
    </row>
    <row r="64" spans="15:35">
      <c r="Z64" s="5">
        <f t="shared" si="12"/>
        <v>0</v>
      </c>
    </row>
    <row r="65" spans="26:26">
      <c r="Z65" s="5">
        <f t="shared" si="12"/>
        <v>0</v>
      </c>
    </row>
    <row r="66" spans="26:26">
      <c r="Z66" s="5">
        <f t="shared" si="12"/>
        <v>0</v>
      </c>
    </row>
    <row r="67" spans="26:26">
      <c r="Z67" s="5">
        <f t="shared" si="12"/>
        <v>0</v>
      </c>
    </row>
    <row r="68" spans="26:26">
      <c r="Z68" s="5">
        <f t="shared" si="12"/>
        <v>0</v>
      </c>
    </row>
    <row r="69" spans="26:26">
      <c r="Z69" s="5">
        <f t="shared" si="12"/>
        <v>0</v>
      </c>
    </row>
    <row r="70" spans="26:26">
      <c r="Z70" s="5">
        <f t="shared" si="12"/>
        <v>0</v>
      </c>
    </row>
    <row r="71" spans="26:26">
      <c r="Z71" s="5">
        <f t="shared" si="12"/>
        <v>0</v>
      </c>
    </row>
    <row r="72" spans="26:26">
      <c r="Z72" s="5">
        <f t="shared" si="12"/>
        <v>0</v>
      </c>
    </row>
    <row r="73" spans="26:26">
      <c r="Z73" s="5">
        <f t="shared" si="12"/>
        <v>0</v>
      </c>
    </row>
    <row r="74" spans="26:26">
      <c r="Z74" s="5">
        <f t="shared" si="12"/>
        <v>0</v>
      </c>
    </row>
  </sheetData>
  <sortState xmlns:xlrd2="http://schemas.microsoft.com/office/spreadsheetml/2017/richdata2" ref="B7:H27">
    <sortCondition ref="G7:G27"/>
  </sortState>
  <phoneticPr fontId="2" type="noConversion"/>
  <conditionalFormatting sqref="C28:C104 C7:C26">
    <cfRule type="colorScale" priority="10">
      <colorScale>
        <cfvo type="percentile" val="10"/>
        <cfvo type="percentile" val="50"/>
        <cfvo type="percentile" val="90"/>
        <color rgb="FFF8696B"/>
        <color rgb="FFFFEB84"/>
        <color rgb="FF63BE7B"/>
      </colorScale>
    </cfRule>
  </conditionalFormatting>
  <conditionalFormatting sqref="D28:D115 D7:D26">
    <cfRule type="colorScale" priority="9">
      <colorScale>
        <cfvo type="percentile" val="10"/>
        <cfvo type="percentile" val="50"/>
        <cfvo type="percentile" val="90"/>
        <color rgb="FF63BE7B"/>
        <color rgb="FFFFEB84"/>
        <color rgb="FFF8696B"/>
      </colorScale>
    </cfRule>
  </conditionalFormatting>
  <conditionalFormatting sqref="C27">
    <cfRule type="colorScale" priority="8">
      <colorScale>
        <cfvo type="percentile" val="10"/>
        <cfvo type="percentile" val="50"/>
        <cfvo type="percentile" val="90"/>
        <color rgb="FFF8696B"/>
        <color rgb="FFFFEB84"/>
        <color rgb="FF63BE7B"/>
      </colorScale>
    </cfRule>
  </conditionalFormatting>
  <conditionalFormatting sqref="D27">
    <cfRule type="colorScale" priority="7">
      <colorScale>
        <cfvo type="percentile" val="10"/>
        <cfvo type="percentile" val="50"/>
        <cfvo type="percentile" val="90"/>
        <color rgb="FF63BE7B"/>
        <color rgb="FFFFEB84"/>
        <color rgb="FFF8696B"/>
      </colorScale>
    </cfRule>
  </conditionalFormatting>
  <conditionalFormatting sqref="Z7:Z15">
    <cfRule type="cellIs" dxfId="3" priority="6" operator="equal">
      <formula>"Passed"</formula>
    </cfRule>
  </conditionalFormatting>
  <conditionalFormatting sqref="AA7:AA15">
    <cfRule type="cellIs" dxfId="2" priority="5" operator="equal">
      <formula>"Goal Hit"</formula>
    </cfRule>
  </conditionalFormatting>
  <conditionalFormatting sqref="C7:C11">
    <cfRule type="colorScale" priority="1">
      <colorScale>
        <cfvo type="percent" val="0"/>
        <cfvo type="percent" val="50"/>
        <cfvo type="percent" val="100"/>
        <color rgb="FFF8696B"/>
        <color rgb="FFFFEB84"/>
        <color rgb="FF63BE7B"/>
      </colorScale>
    </cfRule>
  </conditionalFormatting>
  <dataValidations count="3">
    <dataValidation type="list" allowBlank="1" showInputMessage="1" showErrorMessage="1" sqref="E29:E36" xr:uid="{5455F136-66C1-4760-81BE-860C7DDE51AA}">
      <formula1>$Q$7:$Q$23</formula1>
    </dataValidation>
    <dataValidation type="list" allowBlank="1" showInputMessage="1" showErrorMessage="1" sqref="E12:E28" xr:uid="{7E42495F-676C-4F9F-8EF7-0483C663274A}">
      <formula1>$Q$7:$Q$15</formula1>
    </dataValidation>
    <dataValidation type="list" errorStyle="warning" allowBlank="1" showInputMessage="1" showErrorMessage="1" error="Data Validation list may need to be reconfigured!" sqref="E7:E11" xr:uid="{58F64336-B49E-46BA-9FF7-6FC56015591F}">
      <formula1>$Q$7:$Q$15</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25"/>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Homescreen</vt:lpstr>
      <vt:lpstr>Assignments</vt:lpstr>
      <vt:lpstr>Sheet2</vt:lpstr>
      <vt:lpstr>Sheet3</vt:lpstr>
      <vt:lpstr>CATS</vt:lpstr>
      <vt:lpstr>CCodes</vt:lpstr>
      <vt:lpstr>CMarks</vt:lpstr>
      <vt:lpstr>CWeights</vt:lpstr>
      <vt:lpstr>DWorth</vt:lpstr>
      <vt:lpstr>ECodes</vt:lpstr>
      <vt:lpstr>EDWorth</vt:lpstr>
      <vt:lpstr>EMarks</vt:lpstr>
      <vt:lpstr>EWeights</vt:lpstr>
      <vt:lpstr>Modules</vt:lpstr>
      <vt:lpstr>Years</vt:lpstr>
      <vt:lpstr>YearTable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jinxsimpson</dc:creator>
  <cp:lastModifiedBy>Speersy</cp:lastModifiedBy>
  <dcterms:created xsi:type="dcterms:W3CDTF">2019-04-14T15:37:43Z</dcterms:created>
  <dcterms:modified xsi:type="dcterms:W3CDTF">2020-11-23T13:30:58Z</dcterms:modified>
</cp:coreProperties>
</file>