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755" yWindow="525" windowWidth="27795" windowHeight="12585"/>
  </bookViews>
  <sheets>
    <sheet name="Sheet1" sheetId="1" r:id="rId1"/>
    <sheet name="Sheet2" sheetId="2" r:id="rId2"/>
    <sheet name="Sheet3" sheetId="3" r:id="rId3"/>
  </sheets>
  <definedNames>
    <definedName name="CATS">Sheet1!$V$7:$V$119</definedName>
    <definedName name="CCodes">Sheet1!$E$7:$E$119</definedName>
    <definedName name="CMarks">Sheet1!$C$7:$C$119</definedName>
    <definedName name="CWeights">Sheet1!$D$7:$D$119</definedName>
    <definedName name="DWorth">Sheet1!$F$7:$F$119</definedName>
    <definedName name="ECodes">Sheet1!$M$7:$M$119</definedName>
    <definedName name="EDWorth">Sheet1!$N$7:$N$119</definedName>
    <definedName name="EMarks">Sheet1!$K$7:$K$119</definedName>
    <definedName name="EWeights">Sheet1!$L$7:$L$119</definedName>
    <definedName name="Modules">Sheet1!$Q$6:$AA$79</definedName>
    <definedName name="Years">Sheet1!$W$7:$W$119</definedName>
    <definedName name="YearTable">Sheet1!$AN$6:$AO$10</definedName>
  </definedNames>
  <calcPr calcId="145621"/>
</workbook>
</file>

<file path=xl/calcChain.xml><?xml version="1.0" encoding="utf-8"?>
<calcChain xmlns="http://schemas.openxmlformats.org/spreadsheetml/2006/main">
  <c r="N8" i="1" l="1"/>
  <c r="AP8" i="1" l="1"/>
  <c r="AP9" i="1"/>
  <c r="AP10" i="1"/>
  <c r="AF8" i="1" l="1"/>
  <c r="AF9" i="1"/>
  <c r="AF10" i="1"/>
  <c r="AF11" i="1"/>
  <c r="AF12" i="1"/>
  <c r="AF13" i="1"/>
  <c r="AF14" i="1"/>
  <c r="F11" i="1" l="1"/>
  <c r="F10" i="1"/>
  <c r="F12" i="1"/>
  <c r="F9" i="1"/>
  <c r="F13" i="1"/>
  <c r="F8" i="1"/>
  <c r="F14" i="1"/>
  <c r="F7" i="1"/>
  <c r="F15" i="1"/>
  <c r="F16" i="1"/>
  <c r="H16" i="1" l="1"/>
  <c r="AK8" i="1" l="1"/>
  <c r="AK10" i="1"/>
  <c r="AK11" i="1"/>
  <c r="AK12" i="1"/>
  <c r="AK13" i="1"/>
  <c r="AK14" i="1"/>
  <c r="X14" i="1" l="1"/>
  <c r="S14" i="1"/>
  <c r="T14" i="1"/>
  <c r="Y14" i="1" l="1"/>
  <c r="U14" i="1"/>
  <c r="AL14" i="1" s="1"/>
  <c r="AA14" i="1"/>
  <c r="Z14" i="1"/>
  <c r="AB14" i="1" l="1"/>
  <c r="AI14" i="1"/>
  <c r="AJ14" i="1"/>
  <c r="AQ9" i="1"/>
  <c r="AQ10" i="1"/>
  <c r="AQ8" i="1"/>
  <c r="N7" i="1"/>
  <c r="H8" i="1"/>
  <c r="H10" i="1" l="1"/>
  <c r="H15" i="1"/>
  <c r="H11" i="1"/>
  <c r="H13" i="1"/>
  <c r="H9" i="1"/>
  <c r="H14" i="1"/>
  <c r="H12" i="1"/>
  <c r="H7" i="1"/>
  <c r="AT6" i="1"/>
  <c r="X7" i="1" l="1"/>
  <c r="X8" i="1"/>
  <c r="X9" i="1"/>
  <c r="X10" i="1"/>
  <c r="X11" i="1"/>
  <c r="X12" i="1"/>
  <c r="X13" i="1"/>
  <c r="AT7" i="1" l="1"/>
  <c r="T8" i="1" l="1"/>
  <c r="T9" i="1"/>
  <c r="T10" i="1"/>
  <c r="T11" i="1"/>
  <c r="T12" i="1"/>
  <c r="T13" i="1"/>
  <c r="T7" i="1"/>
  <c r="S8" i="1"/>
  <c r="S9" i="1"/>
  <c r="S10" i="1"/>
  <c r="S11" i="1"/>
  <c r="S12" i="1"/>
  <c r="S13" i="1"/>
  <c r="S7" i="1"/>
  <c r="U7" i="1" l="1"/>
  <c r="Y7" i="1"/>
  <c r="U10" i="1"/>
  <c r="AL10" i="1" s="1"/>
  <c r="Y10" i="1"/>
  <c r="U13" i="1"/>
  <c r="AL13" i="1" s="1"/>
  <c r="Y13" i="1"/>
  <c r="Z13" i="1"/>
  <c r="U9" i="1"/>
  <c r="Z9" i="1"/>
  <c r="Y9" i="1"/>
  <c r="U12" i="1"/>
  <c r="AL12" i="1" s="1"/>
  <c r="Z12" i="1"/>
  <c r="Y12" i="1"/>
  <c r="U8" i="1"/>
  <c r="AL8" i="1" s="1"/>
  <c r="Y8" i="1"/>
  <c r="Z8" i="1"/>
  <c r="Z11" i="1"/>
  <c r="U11" i="1"/>
  <c r="AL11" i="1" s="1"/>
  <c r="Y11" i="1"/>
  <c r="Z10" i="1"/>
  <c r="AA7" i="1"/>
  <c r="AA11" i="1"/>
  <c r="AA10" i="1"/>
  <c r="AA13" i="1"/>
  <c r="AA9" i="1"/>
  <c r="AA12" i="1"/>
  <c r="AA8" i="1"/>
  <c r="AP7" i="1" l="1"/>
  <c r="AT8" i="1" s="1"/>
  <c r="AT9" i="1" s="1"/>
  <c r="AF7" i="1"/>
  <c r="AK7" i="1"/>
  <c r="AL7" i="1" s="1"/>
  <c r="AB9" i="1"/>
  <c r="AK9" i="1"/>
  <c r="AL9" i="1" s="1"/>
  <c r="AI9" i="1"/>
  <c r="AJ9" i="1"/>
  <c r="AB11" i="1"/>
  <c r="AJ11" i="1"/>
  <c r="AI11" i="1"/>
  <c r="AB8" i="1"/>
  <c r="AI8" i="1"/>
  <c r="AJ8" i="1"/>
  <c r="AB12" i="1"/>
  <c r="AI12" i="1"/>
  <c r="AJ12" i="1"/>
  <c r="AB10" i="1"/>
  <c r="AI10" i="1"/>
  <c r="AJ10" i="1"/>
  <c r="AB13" i="1"/>
  <c r="AI13" i="1"/>
  <c r="AJ13" i="1"/>
  <c r="AB7" i="1"/>
  <c r="AJ7" i="1"/>
  <c r="AI7" i="1"/>
  <c r="Z7" i="1"/>
  <c r="AQ7" i="1" l="1"/>
</calcChain>
</file>

<file path=xl/sharedStrings.xml><?xml version="1.0" encoding="utf-8"?>
<sst xmlns="http://schemas.openxmlformats.org/spreadsheetml/2006/main" count="92" uniqueCount="74">
  <si>
    <t>Modules</t>
  </si>
  <si>
    <t>Submissions</t>
  </si>
  <si>
    <t>Submission Title</t>
  </si>
  <si>
    <t>Mark</t>
  </si>
  <si>
    <t>Module Worth</t>
  </si>
  <si>
    <t>Date</t>
  </si>
  <si>
    <t>Module</t>
  </si>
  <si>
    <t>CS130</t>
  </si>
  <si>
    <t>CS118</t>
  </si>
  <si>
    <t>CS131</t>
  </si>
  <si>
    <t>CS132</t>
  </si>
  <si>
    <t>CS133</t>
  </si>
  <si>
    <t>CS141</t>
  </si>
  <si>
    <t>CS126</t>
  </si>
  <si>
    <t>Coursework Worth</t>
  </si>
  <si>
    <t>Coursework Left</t>
  </si>
  <si>
    <t>Code</t>
  </si>
  <si>
    <t>Exam Left</t>
  </si>
  <si>
    <t>Exams</t>
  </si>
  <si>
    <t>Exam Title</t>
  </si>
  <si>
    <t>Stats</t>
  </si>
  <si>
    <t>Example</t>
  </si>
  <si>
    <t>Cumulative Avg</t>
  </si>
  <si>
    <t>CATS</t>
  </si>
  <si>
    <t>Current Weighted Average</t>
  </si>
  <si>
    <t>Average</t>
  </si>
  <si>
    <t>Marks</t>
  </si>
  <si>
    <t>Years</t>
  </si>
  <si>
    <t>Year Worth</t>
  </si>
  <si>
    <t>Avg Needed Pass</t>
  </si>
  <si>
    <t>Avg Needed Goal</t>
  </si>
  <si>
    <t>Goal Mark</t>
  </si>
  <si>
    <t>DegWorth</t>
  </si>
  <si>
    <t>Year Taken</t>
  </si>
  <si>
    <t>Degree Marks</t>
  </si>
  <si>
    <t>Year Completion</t>
  </si>
  <si>
    <t>Total Done</t>
  </si>
  <si>
    <t>Best Possible</t>
  </si>
  <si>
    <t>Best Possible Degree</t>
  </si>
  <si>
    <t>CATs / Total CATs in year * year worth</t>
  </si>
  <si>
    <t>Sum of module worth * mark for cswk and exams</t>
  </si>
  <si>
    <t>Coursework only, accounting for exams with current system will be a challenge for another time</t>
  </si>
  <si>
    <t>Weighted for cats vs total cats in year and weighted for year worth</t>
  </si>
  <si>
    <t>Average, scaled to progresss, total banked marks</t>
  </si>
  <si>
    <t>Degree Progress</t>
  </si>
  <si>
    <t>Best possible grade you could achieve this year</t>
  </si>
  <si>
    <t>To add new coursework or exam, drag down degworth and cumulative average, you also need to adjust the graph dataset to see the new coursework</t>
  </si>
  <si>
    <t>Cumulative average for coursework only, accounting for CATs and year worth</t>
  </si>
  <si>
    <t>To add a new module, fill in code, module worth, year and cats and drag the rest down</t>
  </si>
  <si>
    <t>J3</t>
  </si>
  <si>
    <t>Modelling</t>
  </si>
  <si>
    <t>If I average this</t>
  </si>
  <si>
    <t>I would get</t>
  </si>
  <si>
    <t>I think I at least averaged</t>
  </si>
  <si>
    <t>At most I probably averaged</t>
  </si>
  <si>
    <t>Worst Case</t>
  </si>
  <si>
    <t>Best Case</t>
  </si>
  <si>
    <t>Optimism:</t>
  </si>
  <si>
    <t>Optimism Value Estimate</t>
  </si>
  <si>
    <t>Optimism Value Estimate is a theory I have that you will always achieve a ratio of the marks between your absolute worst and best estimate, because as you know we all either overestimate or underestimate ourselves. I will create a much more advanced model once I have more data. If you are in your second year. Adjust the optimism percentage until the estimate lines up with what you actually achieved and this should extrapolate your next modules. Each person's optimism percentage is likely to be different depending on what kind of person they are.</t>
  </si>
  <si>
    <t>Needed for technical reasons</t>
  </si>
  <si>
    <t>OVE Weight value</t>
  </si>
  <si>
    <t>Jap RW</t>
  </si>
  <si>
    <t>105/129*0.75+24/129*(1/10*0.72+3/10*0.7+6/10*0.4)</t>
  </si>
  <si>
    <t>Example Coursework 1</t>
  </si>
  <si>
    <t>Example Coursework 2</t>
  </si>
  <si>
    <t>Example Coursework 3</t>
  </si>
  <si>
    <t>Example Coursework 4</t>
  </si>
  <si>
    <t>Example Coursework 5</t>
  </si>
  <si>
    <t>Example Coursework 6</t>
  </si>
  <si>
    <t>Example Coursework 7</t>
  </si>
  <si>
    <t>Example Coursework 8</t>
  </si>
  <si>
    <t>Example Coursework 9</t>
  </si>
  <si>
    <t>Example Coursework 10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</si>
</sst>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9" fontId="1" fillId="0" borderId="0" applyFont="0" applyFill="0" applyBorder="0" applyAlignment="0" applyProtection="0"/>
    <xf numFmtId="0" fontId="1" fillId="2" borderId="1" applyNumberFormat="0" applyFont="0" applyAlignment="0" applyProtection="0"/>
  </cellStyleXfs>
  <cellXfs count="15">
    <xf numFmtId="0" fontId="0" fillId="0" borderId="0" xfId="0"/>
    <xf numFmtId="9" fontId="0" fillId="0" borderId="0" xfId="0" applyNumberFormat="1"/>
    <xf numFmtId="10" fontId="0" fillId="0" borderId="0" xfId="0" applyNumberFormat="1"/>
    <xf numFmtId="164" fontId="0" fillId="0" borderId="0" xfId="0" applyNumberFormat="1"/>
    <xf numFmtId="14" fontId="0" fillId="0" borderId="0" xfId="0" applyNumberFormat="1"/>
    <xf numFmtId="164" fontId="0" fillId="0" borderId="0" xfId="0" applyNumberFormat="1" applyAlignment="1">
      <alignment horizontal="right"/>
    </xf>
    <xf numFmtId="9" fontId="0" fillId="0" borderId="0" xfId="1" applyFont="1"/>
    <xf numFmtId="164" fontId="0" fillId="0" borderId="0" xfId="1" applyNumberFormat="1" applyFont="1"/>
    <xf numFmtId="10" fontId="0" fillId="0" borderId="0" xfId="1" applyNumberFormat="1" applyFont="1"/>
    <xf numFmtId="9" fontId="0" fillId="0" borderId="0" xfId="0" applyNumberFormat="1" applyAlignment="1">
      <alignment horizontal="right"/>
    </xf>
    <xf numFmtId="164" fontId="0" fillId="0" borderId="0" xfId="1" applyNumberFormat="1" applyFont="1" applyAlignment="1">
      <alignment horizontal="right"/>
    </xf>
    <xf numFmtId="9" fontId="0" fillId="0" borderId="0" xfId="1" applyNumberFormat="1" applyFont="1"/>
    <xf numFmtId="165" fontId="0" fillId="0" borderId="0" xfId="0" applyNumberFormat="1"/>
    <xf numFmtId="9" fontId="0" fillId="0" borderId="0" xfId="1" applyFont="1" applyAlignment="1">
      <alignment horizontal="right"/>
    </xf>
    <xf numFmtId="0" fontId="0" fillId="2" borderId="1" xfId="2" applyFont="1"/>
  </cellXfs>
  <cellStyles count="3">
    <cellStyle name="Normal" xfId="0" builtinId="0"/>
    <cellStyle name="Note" xfId="2" builtinId="1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baseline="0"/>
              <a:t>Average/Time</a:t>
            </a:r>
          </a:p>
        </c:rich>
      </c:tx>
      <c:layout/>
      <c:overlay val="0"/>
    </c:title>
    <c:autoTitleDeleted val="0"/>
    <c:plotArea>
      <c:layout/>
      <c:lineChart>
        <c:grouping val="stacked"/>
        <c:varyColors val="0"/>
        <c:ser>
          <c:idx val="0"/>
          <c:order val="0"/>
          <c:marker>
            <c:symbol val="none"/>
          </c:marker>
          <c:cat>
            <c:numRef>
              <c:f>Sheet1!$G$7:$G$26</c:f>
              <c:numCache>
                <c:formatCode>m/d/yyyy</c:formatCode>
                <c:ptCount val="20"/>
                <c:pt idx="0">
                  <c:v>43391</c:v>
                </c:pt>
                <c:pt idx="1">
                  <c:v>43404</c:v>
                </c:pt>
                <c:pt idx="2">
                  <c:v>43405</c:v>
                </c:pt>
                <c:pt idx="3">
                  <c:v>43419</c:v>
                </c:pt>
                <c:pt idx="4">
                  <c:v>43424</c:v>
                </c:pt>
                <c:pt idx="5">
                  <c:v>43432</c:v>
                </c:pt>
                <c:pt idx="6">
                  <c:v>43433</c:v>
                </c:pt>
                <c:pt idx="7">
                  <c:v>43440</c:v>
                </c:pt>
                <c:pt idx="8">
                  <c:v>43441</c:v>
                </c:pt>
                <c:pt idx="9">
                  <c:v>43459</c:v>
                </c:pt>
              </c:numCache>
            </c:numRef>
          </c:cat>
          <c:val>
            <c:numRef>
              <c:f>Sheet1!$H$7:$H$26</c:f>
              <c:numCache>
                <c:formatCode>0.00%</c:formatCode>
                <c:ptCount val="20"/>
                <c:pt idx="0">
                  <c:v>0.3</c:v>
                </c:pt>
                <c:pt idx="1">
                  <c:v>0.375</c:v>
                </c:pt>
                <c:pt idx="2">
                  <c:v>0.4</c:v>
                </c:pt>
                <c:pt idx="3">
                  <c:v>0.43333333333333335</c:v>
                </c:pt>
                <c:pt idx="4">
                  <c:v>0.52608695652173909</c:v>
                </c:pt>
                <c:pt idx="5">
                  <c:v>0.59344262295081962</c:v>
                </c:pt>
                <c:pt idx="6">
                  <c:v>0.61666666666666659</c:v>
                </c:pt>
                <c:pt idx="7">
                  <c:v>0.70581395348837206</c:v>
                </c:pt>
                <c:pt idx="8">
                  <c:v>0.74954954954954955</c:v>
                </c:pt>
                <c:pt idx="9">
                  <c:v>0.75725190839694656</c:v>
                </c:pt>
              </c:numCache>
            </c:numRef>
          </c:val>
          <c:smooth val="0"/>
        </c:ser>
        <c:dLbls>
          <c:showLegendKey val="0"/>
          <c:showVal val="0"/>
          <c:showCatName val="0"/>
          <c:showSerName val="0"/>
          <c:showPercent val="0"/>
          <c:showBubbleSize val="0"/>
        </c:dLbls>
        <c:marker val="1"/>
        <c:smooth val="0"/>
        <c:axId val="149828352"/>
        <c:axId val="149830272"/>
      </c:lineChart>
      <c:dateAx>
        <c:axId val="149828352"/>
        <c:scaling>
          <c:orientation val="minMax"/>
        </c:scaling>
        <c:delete val="0"/>
        <c:axPos val="b"/>
        <c:title>
          <c:tx>
            <c:rich>
              <a:bodyPr/>
              <a:lstStyle/>
              <a:p>
                <a:pPr>
                  <a:defRPr/>
                </a:pPr>
                <a:r>
                  <a:rPr lang="en-GB"/>
                  <a:t>Date</a:t>
                </a:r>
              </a:p>
            </c:rich>
          </c:tx>
          <c:layout/>
          <c:overlay val="0"/>
        </c:title>
        <c:numFmt formatCode="mm/yyyy" sourceLinked="0"/>
        <c:majorTickMark val="out"/>
        <c:minorTickMark val="none"/>
        <c:tickLblPos val="nextTo"/>
        <c:txPr>
          <a:bodyPr rot="0" vert="horz"/>
          <a:lstStyle/>
          <a:p>
            <a:pPr>
              <a:defRPr/>
            </a:pPr>
            <a:endParaRPr lang="en-US"/>
          </a:p>
        </c:txPr>
        <c:crossAx val="149830272"/>
        <c:crosses val="autoZero"/>
        <c:auto val="0"/>
        <c:lblOffset val="100"/>
        <c:baseTimeUnit val="days"/>
      </c:dateAx>
      <c:valAx>
        <c:axId val="149830272"/>
        <c:scaling>
          <c:orientation val="minMax"/>
        </c:scaling>
        <c:delete val="0"/>
        <c:axPos val="l"/>
        <c:majorGridlines/>
        <c:title>
          <c:tx>
            <c:rich>
              <a:bodyPr rot="-5400000" vert="horz"/>
              <a:lstStyle/>
              <a:p>
                <a:pPr>
                  <a:defRPr/>
                </a:pPr>
                <a:r>
                  <a:rPr lang="en-GB"/>
                  <a:t>Weigthed </a:t>
                </a:r>
              </a:p>
              <a:p>
                <a:pPr>
                  <a:defRPr/>
                </a:pPr>
                <a:r>
                  <a:rPr lang="en-GB"/>
                  <a:t>Average</a:t>
                </a:r>
              </a:p>
            </c:rich>
          </c:tx>
          <c:layout/>
          <c:overlay val="0"/>
        </c:title>
        <c:numFmt formatCode="0%" sourceLinked="0"/>
        <c:majorTickMark val="out"/>
        <c:minorTickMark val="none"/>
        <c:tickLblPos val="nextTo"/>
        <c:crossAx val="149828352"/>
        <c:crosses val="autoZero"/>
        <c:crossBetween val="between"/>
      </c:valAx>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39</xdr:col>
      <xdr:colOff>63233</xdr:colOff>
      <xdr:row>15</xdr:row>
      <xdr:rowOff>112861</xdr:rowOff>
    </xdr:from>
    <xdr:to>
      <xdr:col>53</xdr:col>
      <xdr:colOff>360189</xdr:colOff>
      <xdr:row>36</xdr:row>
      <xdr:rowOff>90448</xdr:rowOff>
    </xdr:to>
    <xdr:graphicFrame macro="">
      <xdr:nvGraphicFramePr>
        <xdr:cNvPr id="2" name="Moving Avg"/>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57"/>
  <sheetViews>
    <sheetView tabSelected="1" zoomScale="85" zoomScaleNormal="85" workbookViewId="0">
      <selection activeCell="Q14" sqref="Q14"/>
    </sheetView>
  </sheetViews>
  <sheetFormatPr defaultRowHeight="15" x14ac:dyDescent="0.25"/>
  <cols>
    <col min="2" max="2" width="35.7109375" customWidth="1"/>
    <col min="3" max="3" width="9.140625" style="1" customWidth="1"/>
    <col min="4" max="4" width="13.7109375" style="1" customWidth="1"/>
    <col min="6" max="6" width="11.140625" customWidth="1"/>
    <col min="7" max="7" width="13.85546875" style="4" customWidth="1"/>
    <col min="8" max="8" width="14.5703125" customWidth="1"/>
    <col min="10" max="10" width="10.7109375" bestFit="1" customWidth="1"/>
    <col min="11" max="11" width="18" style="1" customWidth="1"/>
    <col min="12" max="12" width="17.140625" style="1" customWidth="1"/>
    <col min="13" max="13" width="9.140625" style="1"/>
    <col min="14" max="14" width="11.140625" style="1" customWidth="1"/>
    <col min="15" max="15" width="11.140625" bestFit="1" customWidth="1"/>
    <col min="18" max="18" width="18.7109375" customWidth="1"/>
    <col min="19" max="19" width="16.85546875" customWidth="1"/>
    <col min="20" max="21" width="17.140625" customWidth="1"/>
    <col min="22" max="23" width="15.5703125" customWidth="1"/>
    <col min="24" max="24" width="13.7109375" customWidth="1"/>
    <col min="25" max="25" width="16.140625" style="3" customWidth="1"/>
    <col min="26" max="26" width="18.7109375" style="2" customWidth="1"/>
    <col min="27" max="27" width="17.140625" customWidth="1"/>
    <col min="28" max="28" width="13.42578125" customWidth="1"/>
    <col min="31" max="31" width="15.85546875" customWidth="1"/>
    <col min="32" max="32" width="26.5703125" customWidth="1"/>
    <col min="33" max="33" width="25" customWidth="1"/>
    <col min="34" max="34" width="26.7109375" customWidth="1"/>
    <col min="35" max="35" width="12.5703125" customWidth="1"/>
    <col min="36" max="36" width="12.42578125" customWidth="1"/>
    <col min="37" max="37" width="24.5703125" customWidth="1"/>
    <col min="38" max="38" width="10.28515625" customWidth="1"/>
    <col min="41" max="41" width="11.42578125" customWidth="1"/>
    <col min="42" max="42" width="22.42578125" customWidth="1"/>
    <col min="43" max="43" width="11.5703125" customWidth="1"/>
    <col min="45" max="45" width="51.85546875" customWidth="1"/>
  </cols>
  <sheetData>
    <row r="2" spans="2:48" x14ac:dyDescent="0.25">
      <c r="AH2" s="14" t="s">
        <v>59</v>
      </c>
    </row>
    <row r="3" spans="2:48" x14ac:dyDescent="0.25">
      <c r="AA3" t="s">
        <v>31</v>
      </c>
      <c r="AB3" s="11">
        <v>0.75</v>
      </c>
      <c r="AJ3" t="s">
        <v>57</v>
      </c>
      <c r="AK3" s="6">
        <v>0.5</v>
      </c>
    </row>
    <row r="4" spans="2:48" x14ac:dyDescent="0.25">
      <c r="F4" s="14" t="s">
        <v>39</v>
      </c>
      <c r="H4" s="14" t="s">
        <v>47</v>
      </c>
      <c r="X4" s="14" t="s">
        <v>40</v>
      </c>
    </row>
    <row r="5" spans="2:48" x14ac:dyDescent="0.25">
      <c r="B5" t="s">
        <v>1</v>
      </c>
      <c r="J5" t="s">
        <v>18</v>
      </c>
      <c r="Q5" t="s">
        <v>0</v>
      </c>
      <c r="R5" s="1"/>
      <c r="T5" s="1"/>
      <c r="U5" s="1"/>
      <c r="X5" s="2"/>
      <c r="AE5" t="s">
        <v>50</v>
      </c>
      <c r="AL5" t="s">
        <v>60</v>
      </c>
      <c r="AQ5" s="14" t="s">
        <v>45</v>
      </c>
      <c r="AS5" t="s">
        <v>20</v>
      </c>
    </row>
    <row r="6" spans="2:48" x14ac:dyDescent="0.25">
      <c r="B6" t="s">
        <v>2</v>
      </c>
      <c r="C6" s="1" t="s">
        <v>3</v>
      </c>
      <c r="D6" s="1" t="s">
        <v>4</v>
      </c>
      <c r="E6" t="s">
        <v>6</v>
      </c>
      <c r="F6" t="s">
        <v>32</v>
      </c>
      <c r="G6" s="4" t="s">
        <v>5</v>
      </c>
      <c r="H6" t="s">
        <v>22</v>
      </c>
      <c r="J6" t="s">
        <v>19</v>
      </c>
      <c r="K6" s="1" t="s">
        <v>3</v>
      </c>
      <c r="L6" s="1" t="s">
        <v>4</v>
      </c>
      <c r="M6" s="1" t="s">
        <v>6</v>
      </c>
      <c r="N6" s="1" t="s">
        <v>32</v>
      </c>
      <c r="O6" t="s">
        <v>5</v>
      </c>
      <c r="Q6" t="s">
        <v>16</v>
      </c>
      <c r="R6" s="1" t="s">
        <v>14</v>
      </c>
      <c r="S6" t="s">
        <v>15</v>
      </c>
      <c r="T6" s="1" t="s">
        <v>17</v>
      </c>
      <c r="U6" s="1" t="s">
        <v>36</v>
      </c>
      <c r="V6" t="s">
        <v>23</v>
      </c>
      <c r="W6" s="1" t="s">
        <v>33</v>
      </c>
      <c r="X6" s="2" t="s">
        <v>26</v>
      </c>
      <c r="Y6" s="3" t="s">
        <v>25</v>
      </c>
      <c r="Z6" s="3" t="s">
        <v>29</v>
      </c>
      <c r="AA6" t="s">
        <v>30</v>
      </c>
      <c r="AB6" t="s">
        <v>37</v>
      </c>
      <c r="AE6" t="s">
        <v>51</v>
      </c>
      <c r="AF6" t="s">
        <v>52</v>
      </c>
      <c r="AG6" t="s">
        <v>53</v>
      </c>
      <c r="AH6" t="s">
        <v>54</v>
      </c>
      <c r="AI6" t="s">
        <v>55</v>
      </c>
      <c r="AJ6" t="s">
        <v>56</v>
      </c>
      <c r="AK6" t="s">
        <v>58</v>
      </c>
      <c r="AL6" t="s">
        <v>61</v>
      </c>
      <c r="AN6" t="s">
        <v>27</v>
      </c>
      <c r="AO6" t="s">
        <v>28</v>
      </c>
      <c r="AP6" t="s">
        <v>35</v>
      </c>
      <c r="AQ6" t="s">
        <v>37</v>
      </c>
      <c r="AS6" t="s">
        <v>24</v>
      </c>
      <c r="AT6" s="3">
        <f>(SUMPRODUCT(CMarks,CWeights,DWorth)+SUMPRODUCT(EMarks,EWeights,EDWorth))/(SUMPRODUCT(CWeights,DWorth)+SUMPRODUCT(EWeights,EDWorth))</f>
        <v>0.43700440528634366</v>
      </c>
      <c r="AV6" s="14" t="s">
        <v>42</v>
      </c>
    </row>
    <row r="7" spans="2:48" x14ac:dyDescent="0.25">
      <c r="B7" t="s">
        <v>64</v>
      </c>
      <c r="C7" s="1">
        <v>0.3</v>
      </c>
      <c r="D7" s="1">
        <v>0.05</v>
      </c>
      <c r="E7" t="s">
        <v>7</v>
      </c>
      <c r="F7">
        <f t="shared" ref="F7:F28" si="0">VLOOKUP(VLOOKUP(E7,Modules,7),YearTable,2)/SUMPRODUCT(CATS,--(VLOOKUP(E7,Modules,7)=Years))*VLOOKUP(E7,Modules,6)</f>
        <v>1.1627906976744186E-2</v>
      </c>
      <c r="G7" s="4">
        <v>43391</v>
      </c>
      <c r="H7" s="2">
        <f>SUMPRODUCT($C$7:C7,$D$7:D7,$F$7:F7)/SUMPRODUCT($D$7:D7,$F$7:F7)</f>
        <v>0.3</v>
      </c>
      <c r="J7" t="s">
        <v>21</v>
      </c>
      <c r="K7" s="1">
        <v>0.76</v>
      </c>
      <c r="L7" s="1">
        <v>0</v>
      </c>
      <c r="M7" s="1" t="s">
        <v>8</v>
      </c>
      <c r="N7" s="12">
        <f>VLOOKUP(VLOOKUP(M7,Modules,7),YearTable,2)/SUMPRODUCT(CATS,--(VLOOKUP(M7,Modules,7)=Years))*VLOOKUP(M7,Modules,6)</f>
        <v>1.1627906976744186E-2</v>
      </c>
      <c r="O7" s="4">
        <v>43466</v>
      </c>
      <c r="Q7" t="s">
        <v>8</v>
      </c>
      <c r="R7" s="1">
        <v>0.4</v>
      </c>
      <c r="S7" s="1">
        <f t="shared" ref="S7:S14" si="1">R7-SUMIF($E$7:$E$40,Q7,$D$7:$D$40)</f>
        <v>0</v>
      </c>
      <c r="T7" s="1">
        <f t="shared" ref="T7:T14" si="2">(1-R7)-SUMIF($M$7:$M$40,Q7,$L$7:$L$40)</f>
        <v>0.6</v>
      </c>
      <c r="U7" s="1">
        <f>1-S7-T7</f>
        <v>0.4</v>
      </c>
      <c r="V7">
        <v>15</v>
      </c>
      <c r="W7">
        <v>1</v>
      </c>
      <c r="X7" s="8">
        <f>SUMPRODUCT(--(CCodes=Q7),CMarks,CWeights)+SUMPRODUCT(--(ECodes=Q7),EWeights,EMarks)</f>
        <v>0.28500000000000003</v>
      </c>
      <c r="Y7" s="1">
        <f>IF(S7+T7&lt;1,X7/(1-S7-T7),"N/A")</f>
        <v>0.71250000000000002</v>
      </c>
      <c r="Z7" s="10">
        <f>IF((0.4-X7)&lt;0,"Passed",IF(T7+S7&gt;0,IF((0.4-X7)/(T7+S7)&lt;1,(0.4-X7)/(T7+S7),"Failed"),"Failed"))</f>
        <v>0.19166666666666665</v>
      </c>
      <c r="AA7" s="6">
        <f t="shared" ref="AA7:AA13" si="3">IF(($AB$3-X7)&lt;0,"Goal Hit",IF(T7+S7&gt;0,IF(($AB$3-X7)/(T7+S7)&lt;1,($AB$3-X7)/(T7+S7),"Goal Miss"),"Goal Miss"))</f>
        <v>0.77500000000000002</v>
      </c>
      <c r="AB7" s="11">
        <f>X7+(1-U7)</f>
        <v>0.88500000000000001</v>
      </c>
      <c r="AE7" s="6">
        <v>0.84</v>
      </c>
      <c r="AF7" s="3">
        <f>IF(ISBLANK(AE7),"Input case",(1-U7)*AE7+X7)</f>
        <v>0.78900000000000003</v>
      </c>
      <c r="AG7" s="6">
        <v>0.7</v>
      </c>
      <c r="AH7" s="6">
        <v>0.96</v>
      </c>
      <c r="AI7" s="3">
        <f>(1-U7)*AG7+X7</f>
        <v>0.70500000000000007</v>
      </c>
      <c r="AJ7" s="3">
        <f>(1-U7)*AH7+X7</f>
        <v>0.86099999999999999</v>
      </c>
      <c r="AK7" s="3">
        <f>IF(OR(ISBLANK(AG7),ISBLANK(AH7)),"Input Best and Worst Cases",(1-U7)*((1-AK3)*AG7+AH7*AK3)+X7)</f>
        <v>0.78299999999999992</v>
      </c>
      <c r="AL7">
        <f>IF(AK7="Input Best and Worst Cases",U7,1)</f>
        <v>1</v>
      </c>
      <c r="AN7">
        <v>1</v>
      </c>
      <c r="AO7" s="6">
        <v>0.1</v>
      </c>
      <c r="AP7" s="13">
        <f>IF(SUMPRODUCT(--(Years=AN7),CATS)&gt;=120,SUMPRODUCT(--(Years=AN7),CATS,$U$7:$U$119)/SUMPRODUCT(--(Years=AN7),CATS),"Not enough CATS")</f>
        <v>0.26395348837209298</v>
      </c>
      <c r="AQ7" s="13">
        <f>IF(SUMPRODUCT(--(Years=AN7),CATS)&gt;120,SUMPRODUCT(--(Years=AN7),CATS,$AB$7:$AB$119)/SUMPRODUCT(--(Years=AN7),CATS),1)</f>
        <v>0.85139534883720913</v>
      </c>
      <c r="AS7" t="s">
        <v>34</v>
      </c>
      <c r="AT7" s="8">
        <f>(SUMPRODUCT(CMarks,CWeights,DWorth)+SUMPRODUCT(EMarks,EWeights,EDWorth))</f>
        <v>1.1534883720930233E-2</v>
      </c>
      <c r="AV7" s="14" t="s">
        <v>43</v>
      </c>
    </row>
    <row r="8" spans="2:48" x14ac:dyDescent="0.25">
      <c r="B8" t="s">
        <v>65</v>
      </c>
      <c r="C8" s="1">
        <v>0.4</v>
      </c>
      <c r="D8" s="1">
        <v>0.15</v>
      </c>
      <c r="E8" t="s">
        <v>8</v>
      </c>
      <c r="F8">
        <f t="shared" si="0"/>
        <v>1.1627906976744186E-2</v>
      </c>
      <c r="G8" s="4">
        <v>43404</v>
      </c>
      <c r="H8" s="2">
        <f>SUMPRODUCT($C$7:C8,$D$7:D8,$F$7:F8)/SUMPRODUCT($D$7:D8,$F$7:F8)</f>
        <v>0.375</v>
      </c>
      <c r="J8" t="s">
        <v>62</v>
      </c>
      <c r="K8" s="1">
        <v>0</v>
      </c>
      <c r="L8" s="1">
        <v>0.6</v>
      </c>
      <c r="M8" s="1" t="s">
        <v>49</v>
      </c>
      <c r="N8" s="12">
        <f>VLOOKUP(VLOOKUP(M8,Modules,7),YearTable,2)/SUMPRODUCT(CATS,--(VLOOKUP(M8,Modules,7)=Years))*VLOOKUP(M8,Modules,6)</f>
        <v>1.8604651162790697E-2</v>
      </c>
      <c r="O8" s="4"/>
      <c r="Q8" t="s">
        <v>13</v>
      </c>
      <c r="R8" s="1">
        <v>0.5</v>
      </c>
      <c r="S8" s="1">
        <f t="shared" si="1"/>
        <v>0.5</v>
      </c>
      <c r="T8" s="1">
        <f t="shared" si="2"/>
        <v>0.5</v>
      </c>
      <c r="U8" s="1">
        <f t="shared" ref="U8:U14" si="4">1-S8-T8</f>
        <v>0</v>
      </c>
      <c r="V8">
        <v>15</v>
      </c>
      <c r="W8">
        <v>1</v>
      </c>
      <c r="X8" s="8">
        <f t="shared" ref="X8:X13" si="5">SUMPRODUCT(--($E$7:$E$119=Q8),CMarks,CWeights)+SUMPRODUCT(--(ECodes=Q8),EWeights,EMarks)</f>
        <v>0</v>
      </c>
      <c r="Y8" s="1" t="str">
        <f t="shared" ref="Y8:Y13" si="6">IF(S8+T8&lt;1,X8/(1-S8-T8),"N/A")</f>
        <v>N/A</v>
      </c>
      <c r="Z8" s="10">
        <f t="shared" ref="Z8:Z13" si="7">IF((0.4-X8)&lt;0,"Passed",IF(T8+S8&gt;0,IF((0.4-X8)/(T8+S8)&lt;1,(0.4-X8)/(T8+S8),"Failed"),"Failed"))</f>
        <v>0.4</v>
      </c>
      <c r="AA8" s="6">
        <f t="shared" si="3"/>
        <v>0.75</v>
      </c>
      <c r="AB8" s="11">
        <f t="shared" ref="AB8:AB13" si="8">X8+(1-U8)</f>
        <v>1</v>
      </c>
      <c r="AE8" s="6"/>
      <c r="AF8" s="5" t="str">
        <f t="shared" ref="AF8:AF14" si="9">IF(ISBLANK(AE8),"Input case",(1-U8)*AE8+X8)</f>
        <v>Input case</v>
      </c>
      <c r="AG8" s="6"/>
      <c r="AH8" s="6"/>
      <c r="AI8" s="3">
        <f t="shared" ref="AI8:AI14" si="10">(1-U8)*AG8+X8</f>
        <v>0</v>
      </c>
      <c r="AJ8" s="3">
        <f t="shared" ref="AJ8:AJ14" si="11">(1-U8)*AH8+X8</f>
        <v>0</v>
      </c>
      <c r="AK8" s="3" t="str">
        <f t="shared" ref="AK8:AK14" si="12">IF(OR(ISBLANK(AG8),ISBLANK(AH8)),"Input Best and Worst Cases",(1-U8)*((1-AK4)*AG8+AH8*AK4)+X8)</f>
        <v>Input Best and Worst Cases</v>
      </c>
      <c r="AL8">
        <f t="shared" ref="AL8:AL14" si="13">IF(AK8="Input Best and Worst Cases",U8,1)</f>
        <v>0</v>
      </c>
      <c r="AN8">
        <v>2</v>
      </c>
      <c r="AO8" s="13"/>
      <c r="AP8" s="13" t="str">
        <f>IF(SUMPRODUCT(--(Years=AN8),CATS)&gt;=120,SUMPRODUCT(--(Years=AN8),CATS,$U$7:$U$119)/SUMPRODUCT(--(Years=AN8),CATS),"Not enough CATS")</f>
        <v>Not enough CATS</v>
      </c>
      <c r="AQ8" s="13">
        <f>IF(SUMPRODUCT(--(Years=AN8),CATS)&gt;120,SUMPRODUCT(--(Years=AN8),CATS,$AB$7:$AB$119)/SUMPRODUCT(--(Years=AN8),CATS),1)</f>
        <v>1</v>
      </c>
      <c r="AS8" t="s">
        <v>44</v>
      </c>
      <c r="AT8" s="8">
        <f>SUMPRODUCT(AO7:AO10,AP7:AP10)</f>
        <v>2.6395348837209301E-2</v>
      </c>
    </row>
    <row r="9" spans="2:48" x14ac:dyDescent="0.25">
      <c r="B9" t="s">
        <v>66</v>
      </c>
      <c r="C9" s="1">
        <v>0.5</v>
      </c>
      <c r="D9" s="1">
        <v>0.05</v>
      </c>
      <c r="E9" t="s">
        <v>7</v>
      </c>
      <c r="F9">
        <f t="shared" si="0"/>
        <v>1.1627906976744186E-2</v>
      </c>
      <c r="G9" s="4">
        <v>43405</v>
      </c>
      <c r="H9" s="2">
        <f>SUMPRODUCT($C$7:C9,$D$7:D9,$F$7:F9)/SUMPRODUCT($D$7:D9,$F$7:F9)</f>
        <v>0.4</v>
      </c>
      <c r="O9" s="4"/>
      <c r="Q9" t="s">
        <v>7</v>
      </c>
      <c r="R9" s="1">
        <v>0.2</v>
      </c>
      <c r="S9" s="1">
        <f t="shared" si="1"/>
        <v>0</v>
      </c>
      <c r="T9" s="1">
        <f t="shared" si="2"/>
        <v>0.8</v>
      </c>
      <c r="U9" s="1">
        <f t="shared" si="4"/>
        <v>0.19999999999999996</v>
      </c>
      <c r="V9">
        <v>15</v>
      </c>
      <c r="W9">
        <v>1</v>
      </c>
      <c r="X9" s="8">
        <f t="shared" si="5"/>
        <v>0.11500000000000002</v>
      </c>
      <c r="Y9" s="1">
        <f t="shared" si="6"/>
        <v>0.57500000000000018</v>
      </c>
      <c r="Z9" s="10">
        <f t="shared" si="7"/>
        <v>0.35625000000000001</v>
      </c>
      <c r="AA9" s="6">
        <f t="shared" si="3"/>
        <v>0.79374999999999996</v>
      </c>
      <c r="AB9" s="11">
        <f t="shared" si="8"/>
        <v>0.91500000000000004</v>
      </c>
      <c r="AE9" s="6"/>
      <c r="AF9" s="5" t="str">
        <f t="shared" si="9"/>
        <v>Input case</v>
      </c>
      <c r="AG9" s="6">
        <v>0.6</v>
      </c>
      <c r="AH9" s="6">
        <v>0.84</v>
      </c>
      <c r="AI9" s="3">
        <f t="shared" si="10"/>
        <v>0.59499999999999997</v>
      </c>
      <c r="AJ9" s="3">
        <f t="shared" si="11"/>
        <v>0.78700000000000003</v>
      </c>
      <c r="AK9" s="3">
        <f>IF(OR(ISBLANK(AG9),ISBLANK(AH9)),"Input Best and Worst Cases",(1-U9)*((1-AK3)*AG9+AH9*AK3)+X9)</f>
        <v>0.69099999999999995</v>
      </c>
      <c r="AL9">
        <f t="shared" si="13"/>
        <v>1</v>
      </c>
      <c r="AN9">
        <v>3</v>
      </c>
      <c r="AO9" s="13"/>
      <c r="AP9" s="13" t="str">
        <f>IF(SUMPRODUCT(--(Years=AN9),CATS)&gt;=120,SUMPRODUCT(--(Years=AN9),CATS,$U$7:$U$119)/SUMPRODUCT(--(Years=AN9),CATS),"Not enough CATS")</f>
        <v>Not enough CATS</v>
      </c>
      <c r="AQ9" s="13">
        <f>IF(SUMPRODUCT(--(Years=AN9),CATS)&gt;120,SUMPRODUCT(--(Years=AN9),CATS,$AB$7:$AB$119)/SUMPRODUCT(--(Years=AN9),CATS),1)</f>
        <v>1</v>
      </c>
      <c r="AS9" t="s">
        <v>38</v>
      </c>
      <c r="AT9" s="1">
        <f>1-AT8+AT7</f>
        <v>0.98513953488372097</v>
      </c>
    </row>
    <row r="10" spans="2:48" x14ac:dyDescent="0.25">
      <c r="B10" t="s">
        <v>67</v>
      </c>
      <c r="C10" s="1">
        <v>0.6</v>
      </c>
      <c r="D10" s="1">
        <v>0.05</v>
      </c>
      <c r="E10" t="s">
        <v>7</v>
      </c>
      <c r="F10">
        <f t="shared" si="0"/>
        <v>1.1627906976744186E-2</v>
      </c>
      <c r="G10" s="4">
        <v>43419</v>
      </c>
      <c r="H10" s="2">
        <f>SUMPRODUCT($C$7:C10,$D$7:D10,$F$7:F10)/SUMPRODUCT($D$7:D10,$F$7:F10)</f>
        <v>0.43333333333333335</v>
      </c>
      <c r="O10" s="4"/>
      <c r="Q10" t="s">
        <v>9</v>
      </c>
      <c r="R10" s="1">
        <v>0.2</v>
      </c>
      <c r="S10" s="1">
        <f t="shared" si="1"/>
        <v>0.2</v>
      </c>
      <c r="T10" s="1">
        <f t="shared" si="2"/>
        <v>0.8</v>
      </c>
      <c r="U10" s="1">
        <f t="shared" si="4"/>
        <v>0</v>
      </c>
      <c r="V10">
        <v>15</v>
      </c>
      <c r="W10">
        <v>1</v>
      </c>
      <c r="X10" s="8">
        <f t="shared" si="5"/>
        <v>0</v>
      </c>
      <c r="Y10" s="1" t="str">
        <f t="shared" si="6"/>
        <v>N/A</v>
      </c>
      <c r="Z10" s="10">
        <f t="shared" si="7"/>
        <v>0.4</v>
      </c>
      <c r="AA10" s="6">
        <f t="shared" si="3"/>
        <v>0.75</v>
      </c>
      <c r="AB10" s="11">
        <f t="shared" si="8"/>
        <v>1</v>
      </c>
      <c r="AE10" s="6"/>
      <c r="AF10" s="5" t="str">
        <f t="shared" si="9"/>
        <v>Input case</v>
      </c>
      <c r="AG10" s="6"/>
      <c r="AH10" s="6"/>
      <c r="AI10" s="3">
        <f t="shared" si="10"/>
        <v>0</v>
      </c>
      <c r="AJ10" s="3">
        <f t="shared" si="11"/>
        <v>0</v>
      </c>
      <c r="AK10" s="3" t="str">
        <f t="shared" si="12"/>
        <v>Input Best and Worst Cases</v>
      </c>
      <c r="AL10">
        <f t="shared" si="13"/>
        <v>0</v>
      </c>
      <c r="AN10">
        <v>4</v>
      </c>
      <c r="AO10" s="13"/>
      <c r="AP10" s="13" t="str">
        <f>IF(SUMPRODUCT(--(Years=AN10),CATS)&gt;=120,SUMPRODUCT(--(Years=AN10),CATS,$U$7:$U$119)/SUMPRODUCT(--(Years=AN10),CATS),"Not enough CATS")</f>
        <v>Not enough CATS</v>
      </c>
      <c r="AQ10" s="13">
        <f>IF(SUMPRODUCT(--(Years=AN10),CATS)&gt;120,SUMPRODUCT(--(Years=AN10),CATS,$AB$7:$AB$119)/SUMPRODUCT(--(Years=AN10),CATS),1)</f>
        <v>1</v>
      </c>
    </row>
    <row r="11" spans="2:48" x14ac:dyDescent="0.25">
      <c r="B11" t="s">
        <v>68</v>
      </c>
      <c r="C11" s="1">
        <v>0.7</v>
      </c>
      <c r="D11" s="1">
        <v>0.1</v>
      </c>
      <c r="E11" t="s">
        <v>49</v>
      </c>
      <c r="F11">
        <f t="shared" si="0"/>
        <v>1.8604651162790697E-2</v>
      </c>
      <c r="G11" s="4">
        <v>43424</v>
      </c>
      <c r="H11" s="2">
        <f>SUMPRODUCT($C$7:C11,$D$7:D11,$F$7:F11)/SUMPRODUCT($D$7:D11,$F$7:F11)</f>
        <v>0.52608695652173909</v>
      </c>
      <c r="O11" s="4"/>
      <c r="Q11" t="s">
        <v>10</v>
      </c>
      <c r="R11" s="1">
        <v>0.4</v>
      </c>
      <c r="S11" s="1">
        <f t="shared" si="1"/>
        <v>0.25</v>
      </c>
      <c r="T11" s="1">
        <f t="shared" si="2"/>
        <v>0.6</v>
      </c>
      <c r="U11" s="1">
        <f t="shared" si="4"/>
        <v>0.15000000000000002</v>
      </c>
      <c r="V11">
        <v>15</v>
      </c>
      <c r="W11">
        <v>1</v>
      </c>
      <c r="X11" s="8">
        <f t="shared" si="5"/>
        <v>0.12</v>
      </c>
      <c r="Y11" s="1">
        <f t="shared" si="6"/>
        <v>0.79999999999999982</v>
      </c>
      <c r="Z11" s="10">
        <f t="shared" si="7"/>
        <v>0.3294117647058824</v>
      </c>
      <c r="AA11" s="6">
        <f t="shared" si="3"/>
        <v>0.74117647058823533</v>
      </c>
      <c r="AB11" s="11">
        <f t="shared" si="8"/>
        <v>0.97</v>
      </c>
      <c r="AE11" s="6"/>
      <c r="AF11" s="5" t="str">
        <f t="shared" si="9"/>
        <v>Input case</v>
      </c>
      <c r="AG11" s="6"/>
      <c r="AH11" s="6"/>
      <c r="AI11" s="3">
        <f t="shared" si="10"/>
        <v>0.12</v>
      </c>
      <c r="AJ11" s="3">
        <f t="shared" si="11"/>
        <v>0.12</v>
      </c>
      <c r="AK11" s="3" t="str">
        <f t="shared" si="12"/>
        <v>Input Best and Worst Cases</v>
      </c>
      <c r="AL11">
        <f t="shared" si="13"/>
        <v>0.15000000000000002</v>
      </c>
    </row>
    <row r="12" spans="2:48" x14ac:dyDescent="0.25">
      <c r="B12" t="s">
        <v>69</v>
      </c>
      <c r="C12" s="1">
        <v>0.8</v>
      </c>
      <c r="D12" s="1">
        <v>0.15</v>
      </c>
      <c r="E12" t="s">
        <v>10</v>
      </c>
      <c r="F12">
        <f t="shared" si="0"/>
        <v>1.1627906976744186E-2</v>
      </c>
      <c r="G12" s="4">
        <v>43432</v>
      </c>
      <c r="H12" s="2">
        <f>SUMPRODUCT($C$7:C12,$D$7:D12,$F$7:F12)/SUMPRODUCT($D$7:D12,$F$7:F12)</f>
        <v>0.59344262295081962</v>
      </c>
      <c r="O12" s="4"/>
      <c r="Q12" t="s">
        <v>11</v>
      </c>
      <c r="R12" s="1">
        <v>1</v>
      </c>
      <c r="S12" s="1">
        <f t="shared" si="1"/>
        <v>0.6</v>
      </c>
      <c r="T12" s="1">
        <f t="shared" si="2"/>
        <v>0</v>
      </c>
      <c r="U12" s="1">
        <f t="shared" si="4"/>
        <v>0.4</v>
      </c>
      <c r="V12">
        <v>15</v>
      </c>
      <c r="W12">
        <v>1</v>
      </c>
      <c r="X12" s="8">
        <f t="shared" si="5"/>
        <v>0.36000000000000004</v>
      </c>
      <c r="Y12" s="1">
        <f t="shared" si="6"/>
        <v>0.9</v>
      </c>
      <c r="Z12" s="10">
        <f t="shared" si="7"/>
        <v>6.6666666666666638E-2</v>
      </c>
      <c r="AA12" s="6">
        <f t="shared" si="3"/>
        <v>0.64999999999999991</v>
      </c>
      <c r="AB12" s="11">
        <f t="shared" si="8"/>
        <v>0.96</v>
      </c>
      <c r="AE12" s="6"/>
      <c r="AF12" s="5" t="str">
        <f t="shared" si="9"/>
        <v>Input case</v>
      </c>
      <c r="AG12" s="6"/>
      <c r="AH12" s="6"/>
      <c r="AI12" s="3">
        <f t="shared" si="10"/>
        <v>0.36000000000000004</v>
      </c>
      <c r="AJ12" s="3">
        <f t="shared" si="11"/>
        <v>0.36000000000000004</v>
      </c>
      <c r="AK12" s="3" t="str">
        <f t="shared" si="12"/>
        <v>Input Best and Worst Cases</v>
      </c>
      <c r="AL12">
        <f t="shared" si="13"/>
        <v>0.4</v>
      </c>
    </row>
    <row r="13" spans="2:48" x14ac:dyDescent="0.25">
      <c r="B13" t="s">
        <v>70</v>
      </c>
      <c r="C13" s="1">
        <v>0.9</v>
      </c>
      <c r="D13" s="1">
        <v>0.05</v>
      </c>
      <c r="E13" t="s">
        <v>7</v>
      </c>
      <c r="F13">
        <f t="shared" si="0"/>
        <v>1.1627906976744186E-2</v>
      </c>
      <c r="G13" s="4">
        <v>43433</v>
      </c>
      <c r="H13" s="2">
        <f>SUMPRODUCT($C$7:C13,$D$7:D13,$F$7:F13)/SUMPRODUCT($D$7:D13,$F$7:F13)</f>
        <v>0.61666666666666659</v>
      </c>
      <c r="O13" s="4"/>
      <c r="Q13" t="s">
        <v>12</v>
      </c>
      <c r="R13" s="1">
        <v>0.4</v>
      </c>
      <c r="S13" s="1">
        <f t="shared" si="1"/>
        <v>0.4</v>
      </c>
      <c r="T13" s="1">
        <f t="shared" si="2"/>
        <v>0.6</v>
      </c>
      <c r="U13" s="1">
        <f t="shared" si="4"/>
        <v>0</v>
      </c>
      <c r="V13">
        <v>15</v>
      </c>
      <c r="W13">
        <v>1</v>
      </c>
      <c r="X13" s="8">
        <f t="shared" si="5"/>
        <v>0</v>
      </c>
      <c r="Y13" s="1" t="str">
        <f t="shared" si="6"/>
        <v>N/A</v>
      </c>
      <c r="Z13" s="10">
        <f t="shared" si="7"/>
        <v>0.4</v>
      </c>
      <c r="AA13" s="6">
        <f t="shared" si="3"/>
        <v>0.75</v>
      </c>
      <c r="AB13" s="11">
        <f t="shared" si="8"/>
        <v>1</v>
      </c>
      <c r="AC13" s="14" t="s">
        <v>48</v>
      </c>
      <c r="AE13" s="6"/>
      <c r="AF13" s="5" t="str">
        <f t="shared" si="9"/>
        <v>Input case</v>
      </c>
      <c r="AG13" s="6"/>
      <c r="AH13" s="6"/>
      <c r="AI13" s="3">
        <f t="shared" si="10"/>
        <v>0</v>
      </c>
      <c r="AJ13" s="3">
        <f t="shared" si="11"/>
        <v>0</v>
      </c>
      <c r="AK13" s="3" t="str">
        <f t="shared" si="12"/>
        <v>Input Best and Worst Cases</v>
      </c>
      <c r="AL13">
        <f t="shared" si="13"/>
        <v>0</v>
      </c>
    </row>
    <row r="14" spans="2:48" x14ac:dyDescent="0.25">
      <c r="B14" t="s">
        <v>71</v>
      </c>
      <c r="C14" s="1">
        <v>1</v>
      </c>
      <c r="D14" s="1">
        <v>0.2</v>
      </c>
      <c r="E14" t="s">
        <v>11</v>
      </c>
      <c r="F14">
        <f t="shared" si="0"/>
        <v>1.1627906976744186E-2</v>
      </c>
      <c r="G14" s="4">
        <v>43440</v>
      </c>
      <c r="H14" s="2">
        <f>SUMPRODUCT($C$7:C14,$D$7:D14,$F$7:F14)/SUMPRODUCT($D$7:D14,$F$7:F14)</f>
        <v>0.70581395348837206</v>
      </c>
      <c r="O14" s="4"/>
      <c r="Q14" t="s">
        <v>49</v>
      </c>
      <c r="R14" s="1">
        <v>0.1</v>
      </c>
      <c r="S14" s="1">
        <f t="shared" si="1"/>
        <v>0</v>
      </c>
      <c r="T14" s="1">
        <f t="shared" si="2"/>
        <v>0.30000000000000004</v>
      </c>
      <c r="U14" s="1">
        <f t="shared" si="4"/>
        <v>0.7</v>
      </c>
      <c r="V14">
        <v>24</v>
      </c>
      <c r="W14">
        <v>1</v>
      </c>
      <c r="X14" s="8">
        <f t="shared" ref="X14" si="14">SUMPRODUCT(--($E$7:$E$119=Q14),CMarks,CWeights)+SUMPRODUCT(--(ECodes=Q14),EWeights,EMarks)</f>
        <v>6.9999999999999993E-2</v>
      </c>
      <c r="Y14" s="1">
        <f t="shared" ref="Y14" si="15">IF(S14+T14&lt;1,X14/(1-S14-T14),"N/A")</f>
        <v>9.9999999999999992E-2</v>
      </c>
      <c r="Z14" s="10" t="str">
        <f t="shared" ref="Z14" si="16">IF((0.4-X14)&lt;0,"Passed",IF(T14+S14&gt;0,IF((0.4-X14)/(T14+S14)&lt;1,(0.4-X14)/(T14+S14),"Failed"),"Failed"))</f>
        <v>Failed</v>
      </c>
      <c r="AA14" s="6" t="str">
        <f t="shared" ref="AA14" si="17">IF(($AB$3-X14)&lt;0,"Goal Hit",IF(T14+S14&gt;0,IF(($AB$3-X14)/(T14+S14)&lt;1,($AB$3-X14)/(T14+S14),"Goal Miss"),"Goal Miss"))</f>
        <v>Goal Miss</v>
      </c>
      <c r="AB14" s="11">
        <f t="shared" ref="AB14" si="18">X14+(1-U14)</f>
        <v>0.37000000000000005</v>
      </c>
      <c r="AE14" s="6"/>
      <c r="AF14" s="5" t="str">
        <f t="shared" si="9"/>
        <v>Input case</v>
      </c>
      <c r="AG14" s="6"/>
      <c r="AH14" s="6"/>
      <c r="AI14" s="3">
        <f t="shared" si="10"/>
        <v>6.9999999999999993E-2</v>
      </c>
      <c r="AJ14" s="3">
        <f t="shared" si="11"/>
        <v>6.9999999999999993E-2</v>
      </c>
      <c r="AK14" s="3" t="str">
        <f t="shared" si="12"/>
        <v>Input Best and Worst Cases</v>
      </c>
      <c r="AL14">
        <f t="shared" si="13"/>
        <v>0.7</v>
      </c>
    </row>
    <row r="15" spans="2:48" x14ac:dyDescent="0.25">
      <c r="B15" t="s">
        <v>72</v>
      </c>
      <c r="C15" s="1">
        <v>0.9</v>
      </c>
      <c r="D15" s="1">
        <v>0.25</v>
      </c>
      <c r="E15" t="s">
        <v>8</v>
      </c>
      <c r="F15">
        <f t="shared" si="0"/>
        <v>1.1627906976744186E-2</v>
      </c>
      <c r="G15" s="4">
        <v>43441</v>
      </c>
      <c r="H15" s="2">
        <f>SUMPRODUCT($C$7:C15,$D$7:D15,$F$7:F15)/SUMPRODUCT($D$7:D15,$F$7:F15)</f>
        <v>0.74954954954954955</v>
      </c>
      <c r="O15" s="4"/>
      <c r="X15" s="8"/>
      <c r="Y15" s="1"/>
      <c r="Z15" s="10"/>
      <c r="AA15" s="6"/>
      <c r="AB15" s="11"/>
      <c r="AG15" s="6"/>
      <c r="AH15" s="6"/>
      <c r="AS15" s="14" t="s">
        <v>41</v>
      </c>
    </row>
    <row r="16" spans="2:48" x14ac:dyDescent="0.25">
      <c r="B16" t="s">
        <v>73</v>
      </c>
      <c r="C16" s="1">
        <v>0.8</v>
      </c>
      <c r="D16" s="1">
        <v>0.2</v>
      </c>
      <c r="E16" t="s">
        <v>11</v>
      </c>
      <c r="F16">
        <f t="shared" si="0"/>
        <v>1.1627906976744186E-2</v>
      </c>
      <c r="G16" s="4">
        <v>43459</v>
      </c>
      <c r="H16" s="2">
        <f>SUMPRODUCT($C$7:C16,$D$7:D16,$F$7:F16)/SUMPRODUCT($D$7:D16,$F$7:F16)</f>
        <v>0.75725190839694656</v>
      </c>
      <c r="O16" s="4"/>
      <c r="X16" s="8"/>
      <c r="Y16" s="1"/>
      <c r="Z16" s="10"/>
      <c r="AA16" s="6"/>
      <c r="AB16" s="11"/>
      <c r="AG16" s="6"/>
      <c r="AH16" s="6"/>
    </row>
    <row r="17" spans="8:34" x14ac:dyDescent="0.25">
      <c r="H17" s="2"/>
      <c r="O17" s="4"/>
      <c r="X17" s="8"/>
      <c r="Y17" s="1"/>
      <c r="Z17" s="10"/>
      <c r="AA17" s="6"/>
      <c r="AB17" s="11"/>
      <c r="AG17" s="6"/>
      <c r="AH17" s="6"/>
    </row>
    <row r="18" spans="8:34" x14ac:dyDescent="0.25">
      <c r="H18" s="2"/>
      <c r="O18" s="4"/>
      <c r="X18" s="8"/>
      <c r="Y18" s="1"/>
      <c r="Z18" s="10"/>
      <c r="AA18" s="6"/>
      <c r="AB18" s="11"/>
      <c r="AG18" s="6"/>
      <c r="AH18" s="6"/>
    </row>
    <row r="19" spans="8:34" x14ac:dyDescent="0.25">
      <c r="H19" s="2"/>
      <c r="O19" s="4"/>
      <c r="S19" t="s">
        <v>63</v>
      </c>
      <c r="X19" s="8"/>
      <c r="Y19" s="1"/>
      <c r="Z19" s="10"/>
      <c r="AA19" s="6"/>
      <c r="AB19" s="11"/>
      <c r="AG19" s="6"/>
      <c r="AH19" s="6"/>
    </row>
    <row r="20" spans="8:34" x14ac:dyDescent="0.25">
      <c r="H20" s="2"/>
      <c r="O20" s="4"/>
      <c r="X20" s="8"/>
      <c r="Y20" s="1"/>
      <c r="Z20" s="10"/>
      <c r="AA20" s="6"/>
      <c r="AB20" s="11"/>
      <c r="AG20" s="6"/>
      <c r="AH20" s="6"/>
    </row>
    <row r="21" spans="8:34" x14ac:dyDescent="0.25">
      <c r="H21" s="2"/>
      <c r="O21" s="4"/>
      <c r="X21" s="8"/>
      <c r="Y21" s="9"/>
      <c r="Z21" s="7"/>
      <c r="AA21" s="6"/>
      <c r="AB21" s="11"/>
      <c r="AG21" s="6"/>
      <c r="AH21" s="6"/>
    </row>
    <row r="22" spans="8:34" x14ac:dyDescent="0.25">
      <c r="H22" s="2"/>
      <c r="O22" s="4"/>
      <c r="X22" s="8"/>
      <c r="Y22" s="9"/>
      <c r="Z22" s="7"/>
      <c r="AA22" s="6"/>
      <c r="AB22" s="11"/>
      <c r="AG22" s="6"/>
      <c r="AH22" s="6"/>
    </row>
    <row r="23" spans="8:34" x14ac:dyDescent="0.25">
      <c r="H23" s="2"/>
      <c r="O23" s="4"/>
      <c r="X23" s="8"/>
      <c r="Y23" s="9"/>
      <c r="Z23" s="7"/>
      <c r="AA23" s="6"/>
      <c r="AB23" s="11"/>
      <c r="AG23" s="6"/>
      <c r="AH23" s="6"/>
    </row>
    <row r="24" spans="8:34" x14ac:dyDescent="0.25">
      <c r="H24" s="2"/>
      <c r="O24" s="4"/>
      <c r="X24" s="8"/>
      <c r="Y24" s="9"/>
      <c r="Z24" s="7"/>
      <c r="AA24" s="6"/>
      <c r="AB24" s="11"/>
      <c r="AG24" s="6"/>
      <c r="AH24" s="6"/>
    </row>
    <row r="25" spans="8:34" x14ac:dyDescent="0.25">
      <c r="H25" s="2"/>
      <c r="O25" s="4"/>
      <c r="X25" s="8"/>
      <c r="Y25" s="9"/>
      <c r="Z25" s="7"/>
      <c r="AA25" s="6"/>
      <c r="AB25" s="11"/>
      <c r="AG25" s="6"/>
      <c r="AH25" s="6"/>
    </row>
    <row r="26" spans="8:34" x14ac:dyDescent="0.25">
      <c r="H26" s="2"/>
      <c r="O26" s="4"/>
      <c r="X26" s="8"/>
      <c r="Y26" s="9"/>
      <c r="Z26" s="7"/>
      <c r="AA26" s="6"/>
      <c r="AB26" s="11"/>
      <c r="AG26" s="6"/>
      <c r="AH26" s="6"/>
    </row>
    <row r="27" spans="8:34" x14ac:dyDescent="0.25">
      <c r="H27" s="2"/>
      <c r="O27" s="4"/>
      <c r="X27" s="8"/>
      <c r="Y27" s="9"/>
      <c r="Z27" s="7"/>
      <c r="AA27" s="6"/>
      <c r="AB27" s="11"/>
      <c r="AG27" s="6"/>
      <c r="AH27" s="6"/>
    </row>
    <row r="28" spans="8:34" x14ac:dyDescent="0.25">
      <c r="H28" s="2"/>
      <c r="I28" s="14" t="s">
        <v>46</v>
      </c>
      <c r="O28" s="4"/>
      <c r="X28" s="8"/>
      <c r="Y28" s="9"/>
      <c r="Z28" s="7"/>
      <c r="AA28" s="6"/>
      <c r="AB28" s="11"/>
      <c r="AG28" s="6"/>
      <c r="AH28" s="6"/>
    </row>
    <row r="29" spans="8:34" x14ac:dyDescent="0.25">
      <c r="O29" s="4"/>
      <c r="X29" s="8"/>
      <c r="Y29" s="9"/>
      <c r="Z29" s="7"/>
      <c r="AA29" s="6"/>
      <c r="AB29" s="11"/>
      <c r="AG29" s="6"/>
      <c r="AH29" s="6"/>
    </row>
    <row r="30" spans="8:34" x14ac:dyDescent="0.25">
      <c r="O30" s="4"/>
      <c r="X30" s="8"/>
      <c r="Y30" s="9"/>
      <c r="Z30" s="7"/>
      <c r="AA30" s="6"/>
      <c r="AB30" s="11"/>
      <c r="AG30" s="6"/>
      <c r="AH30" s="6"/>
    </row>
    <row r="31" spans="8:34" x14ac:dyDescent="0.25">
      <c r="O31" s="4"/>
      <c r="X31" s="8"/>
      <c r="Y31" s="9"/>
      <c r="Z31" s="7"/>
      <c r="AA31" s="6"/>
      <c r="AB31" s="6"/>
      <c r="AG31" s="6"/>
      <c r="AH31" s="6"/>
    </row>
    <row r="32" spans="8:34" x14ac:dyDescent="0.25">
      <c r="O32" s="4"/>
      <c r="X32" s="8"/>
      <c r="Y32" s="9"/>
      <c r="Z32" s="7"/>
      <c r="AA32" s="6"/>
      <c r="AB32" s="6"/>
      <c r="AG32" s="6"/>
      <c r="AH32" s="6"/>
    </row>
    <row r="33" spans="15:34" x14ac:dyDescent="0.25">
      <c r="O33" s="4"/>
      <c r="X33" s="8"/>
      <c r="Y33" s="9"/>
      <c r="Z33" s="7"/>
      <c r="AA33" s="6"/>
      <c r="AB33" s="6"/>
      <c r="AG33" s="6"/>
      <c r="AH33" s="6"/>
    </row>
    <row r="34" spans="15:34" x14ac:dyDescent="0.25">
      <c r="O34" s="4"/>
      <c r="X34" s="8"/>
      <c r="Y34" s="9"/>
      <c r="Z34" s="7"/>
      <c r="AA34" s="6"/>
      <c r="AB34" s="6"/>
      <c r="AG34" s="6"/>
      <c r="AH34" s="6"/>
    </row>
    <row r="35" spans="15:34" x14ac:dyDescent="0.25">
      <c r="O35" s="4"/>
      <c r="X35" s="8"/>
      <c r="Y35" s="9"/>
      <c r="Z35" s="7"/>
      <c r="AA35" s="6"/>
      <c r="AB35" s="6"/>
      <c r="AG35" s="6"/>
      <c r="AH35" s="6"/>
    </row>
    <row r="36" spans="15:34" x14ac:dyDescent="0.25">
      <c r="O36" s="4"/>
      <c r="X36" s="8"/>
      <c r="Y36" s="9"/>
      <c r="Z36" s="7"/>
      <c r="AA36" s="6"/>
      <c r="AB36" s="6"/>
      <c r="AG36" s="6"/>
      <c r="AH36" s="6"/>
    </row>
    <row r="37" spans="15:34" x14ac:dyDescent="0.25">
      <c r="O37" s="4"/>
      <c r="X37" s="8"/>
      <c r="Y37" s="9"/>
      <c r="Z37" s="7"/>
      <c r="AA37" s="6"/>
      <c r="AB37" s="6"/>
      <c r="AG37" s="6"/>
      <c r="AH37" s="6"/>
    </row>
    <row r="38" spans="15:34" x14ac:dyDescent="0.25">
      <c r="O38" s="4"/>
      <c r="X38" s="8"/>
      <c r="Y38" s="9"/>
      <c r="Z38" s="7"/>
      <c r="AA38" s="6"/>
      <c r="AB38" s="6"/>
      <c r="AG38" s="6"/>
      <c r="AH38" s="6"/>
    </row>
    <row r="39" spans="15:34" x14ac:dyDescent="0.25">
      <c r="O39" s="4"/>
      <c r="X39" s="8"/>
      <c r="Y39" s="9"/>
      <c r="Z39" s="7"/>
      <c r="AA39" s="6"/>
      <c r="AB39" s="6"/>
      <c r="AG39" s="6"/>
      <c r="AH39" s="6"/>
    </row>
    <row r="40" spans="15:34" x14ac:dyDescent="0.25">
      <c r="O40" s="4"/>
      <c r="X40" s="8"/>
      <c r="Y40" s="9"/>
      <c r="Z40" s="7"/>
      <c r="AA40" s="6"/>
      <c r="AB40" s="6"/>
      <c r="AG40" s="6"/>
      <c r="AH40" s="6"/>
    </row>
    <row r="41" spans="15:34" x14ac:dyDescent="0.25">
      <c r="O41" s="4"/>
      <c r="X41" s="8"/>
      <c r="Y41" s="9"/>
      <c r="Z41" s="7"/>
      <c r="AA41" s="6"/>
      <c r="AB41" s="6"/>
      <c r="AG41" s="6"/>
      <c r="AH41" s="6"/>
    </row>
    <row r="42" spans="15:34" x14ac:dyDescent="0.25">
      <c r="O42" s="4"/>
      <c r="X42" s="8"/>
      <c r="Y42" s="9"/>
      <c r="Z42" s="7"/>
      <c r="AA42" s="6"/>
      <c r="AB42" s="6"/>
      <c r="AG42" s="6"/>
      <c r="AH42" s="6"/>
    </row>
    <row r="43" spans="15:34" x14ac:dyDescent="0.25">
      <c r="O43" s="4"/>
      <c r="X43" s="8"/>
      <c r="Y43" s="9"/>
      <c r="Z43" s="7"/>
      <c r="AA43" s="6"/>
      <c r="AB43" s="6"/>
      <c r="AG43" s="6"/>
      <c r="AH43" s="6"/>
    </row>
    <row r="44" spans="15:34" x14ac:dyDescent="0.25">
      <c r="O44" s="4"/>
      <c r="X44" s="8"/>
      <c r="Y44" s="9"/>
      <c r="Z44" s="7"/>
      <c r="AA44" s="6"/>
      <c r="AB44" s="6"/>
      <c r="AG44" s="6"/>
      <c r="AH44" s="6"/>
    </row>
    <row r="45" spans="15:34" x14ac:dyDescent="0.25">
      <c r="O45" s="4"/>
      <c r="X45" s="8"/>
      <c r="Y45" s="9"/>
      <c r="Z45" s="7"/>
      <c r="AA45" s="6"/>
      <c r="AB45" s="6"/>
      <c r="AG45" s="6"/>
      <c r="AH45" s="6"/>
    </row>
    <row r="46" spans="15:34" x14ac:dyDescent="0.25">
      <c r="O46" s="4"/>
      <c r="X46" s="8"/>
      <c r="Y46" s="9"/>
      <c r="Z46" s="7"/>
      <c r="AA46" s="6"/>
      <c r="AB46" s="6"/>
      <c r="AG46" s="6"/>
      <c r="AH46" s="6"/>
    </row>
    <row r="47" spans="15:34" x14ac:dyDescent="0.25">
      <c r="O47" s="4"/>
      <c r="X47" s="8"/>
      <c r="Y47" s="5"/>
      <c r="Z47" s="7"/>
      <c r="AA47" s="6"/>
      <c r="AB47" s="6"/>
      <c r="AG47" s="6"/>
      <c r="AH47" s="6"/>
    </row>
    <row r="48" spans="15:34" x14ac:dyDescent="0.25">
      <c r="O48" s="4"/>
      <c r="X48" s="8"/>
      <c r="Y48" s="5"/>
      <c r="Z48" s="7"/>
      <c r="AA48" s="6"/>
      <c r="AB48" s="6"/>
      <c r="AG48" s="6"/>
      <c r="AH48" s="6"/>
    </row>
    <row r="49" spans="15:34" x14ac:dyDescent="0.25">
      <c r="O49" s="4"/>
      <c r="X49" s="8"/>
      <c r="Y49" s="5"/>
      <c r="Z49" s="7"/>
      <c r="AA49" s="6"/>
      <c r="AB49" s="6"/>
      <c r="AG49" s="6"/>
      <c r="AH49" s="6"/>
    </row>
    <row r="50" spans="15:34" x14ac:dyDescent="0.25">
      <c r="O50" s="4"/>
      <c r="X50" s="8"/>
      <c r="Y50" s="5"/>
      <c r="Z50" s="7"/>
      <c r="AA50" s="6"/>
      <c r="AB50" s="6"/>
      <c r="AG50" s="6"/>
      <c r="AH50" s="6"/>
    </row>
    <row r="51" spans="15:34" x14ac:dyDescent="0.25">
      <c r="O51" s="4"/>
      <c r="Z51" s="7"/>
      <c r="AA51" s="6"/>
      <c r="AB51" s="6"/>
      <c r="AG51" s="6"/>
      <c r="AH51" s="6"/>
    </row>
    <row r="52" spans="15:34" x14ac:dyDescent="0.25">
      <c r="O52" s="4"/>
      <c r="AG52" s="6"/>
      <c r="AH52" s="6"/>
    </row>
    <row r="53" spans="15:34" x14ac:dyDescent="0.25">
      <c r="O53" s="4"/>
      <c r="AG53" s="6"/>
      <c r="AH53" s="6"/>
    </row>
    <row r="54" spans="15:34" x14ac:dyDescent="0.25">
      <c r="O54" s="4"/>
      <c r="AG54" s="6"/>
      <c r="AH54" s="6"/>
    </row>
    <row r="55" spans="15:34" x14ac:dyDescent="0.25">
      <c r="O55" s="4"/>
      <c r="AG55" s="6"/>
      <c r="AH55" s="6"/>
    </row>
    <row r="56" spans="15:34" x14ac:dyDescent="0.25">
      <c r="O56" s="4"/>
      <c r="AG56" s="6"/>
      <c r="AH56" s="6"/>
    </row>
    <row r="57" spans="15:34" x14ac:dyDescent="0.25">
      <c r="O57" s="4"/>
    </row>
  </sheetData>
  <sortState ref="B7:H28">
    <sortCondition ref="G7:G28"/>
  </sortState>
  <conditionalFormatting sqref="C7:C27 C29:C105">
    <cfRule type="colorScale" priority="4">
      <colorScale>
        <cfvo type="percentile" val="10"/>
        <cfvo type="percentile" val="50"/>
        <cfvo type="percentile" val="90"/>
        <color rgb="FFF8696B"/>
        <color rgb="FFFFEB84"/>
        <color rgb="FF63BE7B"/>
      </colorScale>
    </cfRule>
  </conditionalFormatting>
  <conditionalFormatting sqref="D7:D27 D29:D116">
    <cfRule type="colorScale" priority="3">
      <colorScale>
        <cfvo type="percentile" val="10"/>
        <cfvo type="percentile" val="50"/>
        <cfvo type="percentile" val="90"/>
        <color rgb="FF63BE7B"/>
        <color rgb="FFFFEB84"/>
        <color rgb="FFF8696B"/>
      </colorScale>
    </cfRule>
  </conditionalFormatting>
  <conditionalFormatting sqref="C28">
    <cfRule type="colorScale" priority="2">
      <colorScale>
        <cfvo type="percentile" val="10"/>
        <cfvo type="percentile" val="50"/>
        <cfvo type="percentile" val="90"/>
        <color rgb="FFF8696B"/>
        <color rgb="FFFFEB84"/>
        <color rgb="FF63BE7B"/>
      </colorScale>
    </cfRule>
  </conditionalFormatting>
  <conditionalFormatting sqref="D28">
    <cfRule type="colorScale" priority="1">
      <colorScale>
        <cfvo type="percentile" val="10"/>
        <cfvo type="percentile" val="50"/>
        <cfvo type="percentile" val="90"/>
        <color rgb="FF63BE7B"/>
        <color rgb="FFFFEB84"/>
        <color rgb="FFF8696B"/>
      </colorScale>
    </cfRule>
  </conditionalFormatting>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Sheet1</vt:lpstr>
      <vt:lpstr>Sheet2</vt:lpstr>
      <vt:lpstr>Sheet3</vt:lpstr>
      <vt:lpstr>CATS</vt:lpstr>
      <vt:lpstr>CCodes</vt:lpstr>
      <vt:lpstr>CMarks</vt:lpstr>
      <vt:lpstr>CWeights</vt:lpstr>
      <vt:lpstr>DWorth</vt:lpstr>
      <vt:lpstr>ECodes</vt:lpstr>
      <vt:lpstr>EDWorth</vt:lpstr>
      <vt:lpstr>EMarks</vt:lpstr>
      <vt:lpstr>EWeights</vt:lpstr>
      <vt:lpstr>Modules</vt:lpstr>
      <vt:lpstr>Years</vt:lpstr>
      <vt:lpstr>YearTable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jinxsimpson</dc:creator>
  <cp:lastModifiedBy>jinxsimpson</cp:lastModifiedBy>
  <dcterms:created xsi:type="dcterms:W3CDTF">2019-04-14T15:37:43Z</dcterms:created>
  <dcterms:modified xsi:type="dcterms:W3CDTF">2020-10-16T22:00:35Z</dcterms:modified>
</cp:coreProperties>
</file>