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D">Sheet1!$D$10</definedName>
    <definedName name="TERMG">Sheet1!$G$5</definedName>
    <definedName name="GPD">Sheet1!$D$9</definedName>
    <definedName name="IB">Sheet1!$B$12</definedName>
    <definedName name="IG">Sheet1!$G$12</definedName>
    <definedName name="DPF">Sheet1!$F$3</definedName>
    <definedName name="APRG">Sheet1!$G$4</definedName>
    <definedName name="DPG">Sheet1!$G$3</definedName>
    <definedName name="DPE">Sheet1!$E$3</definedName>
    <definedName name="PE">Sheet1!$E$6</definedName>
    <definedName name="TVCG">Sheet1!$G$14</definedName>
    <definedName name="TVCB">Sheet1!$B$14</definedName>
    <definedName name="MF">Sheet1!$F$10</definedName>
    <definedName name="TVCD">Sheet1!$D$14</definedName>
    <definedName name="TERMF">Sheet1!$F$5</definedName>
    <definedName name="TVCF">Sheet1!$F$14</definedName>
    <definedName name="CYB">Sheet1!$B$16</definedName>
    <definedName name="CYE">Sheet1!$E$16</definedName>
    <definedName name="TERMD">Sheet1!$D$5</definedName>
    <definedName name="CYF">Sheet1!$F$16</definedName>
    <definedName name="IE">Sheet1!$E$12</definedName>
    <definedName name="CYG">Sheet1!$G$16</definedName>
    <definedName name="GCG">Sheet1!$G$17</definedName>
    <definedName name="IF">Sheet1!$F$12</definedName>
    <definedName name="PVC">Sheet1!$C$2</definedName>
    <definedName name="PVD">Sheet1!$D$2</definedName>
    <definedName name="DPC">Sheet1!$C$3</definedName>
    <definedName name="GME">Sheet1!$E$8</definedName>
    <definedName name="PB">Sheet1!$B$6</definedName>
    <definedName name="APRE">Sheet1!$E$4</definedName>
    <definedName name="ME">Sheet1!$E$10</definedName>
    <definedName name="TVCE">Sheet1!$E$14</definedName>
    <definedName name="APRC">Sheet1!$C$4</definedName>
    <definedName name="GPF">Sheet1!$F$9</definedName>
    <definedName name="GCE">Sheet1!$E$17</definedName>
    <definedName name="GMG">Sheet1!$G$8</definedName>
    <definedName name="GCD">Sheet1!$D$17</definedName>
    <definedName name="APRB">Sheet1!$B$4</definedName>
    <definedName name="PVF">Sheet1!$F$2</definedName>
    <definedName name="GMD">Sheet1!$D$8</definedName>
    <definedName name="MG">Sheet1!$G$10</definedName>
    <definedName name="PC">Sheet1!$C$6</definedName>
    <definedName name="GCF">Sheet1!$F$17</definedName>
    <definedName name="DPD">Sheet1!$D$3</definedName>
    <definedName name="PG">Sheet1!$G$6</definedName>
    <definedName name="PVB">Sheet1!$B$2</definedName>
    <definedName name="GCB">Sheet1!$B$17</definedName>
    <definedName name="GPC">Sheet1!$C$9</definedName>
    <definedName name="DPB">Sheet1!$B$3</definedName>
    <definedName name="CYD">Sheet1!$D$16</definedName>
    <definedName name="IC">Sheet1!$C$12</definedName>
    <definedName name="GMF">Sheet1!$F$8</definedName>
    <definedName name="TERMB">Sheet1!$B$5</definedName>
    <definedName name="PVG">Sheet1!$G$2</definedName>
    <definedName name="GPE">Sheet1!$E$9</definedName>
    <definedName name="GPG">Sheet1!$G$9</definedName>
    <definedName name="TERME">Sheet1!$E$5</definedName>
    <definedName name="GMC">Sheet1!$C$8</definedName>
    <definedName name="TFB">Sheet1!$B$15</definedName>
    <definedName name="PF">Sheet1!$F$6</definedName>
    <definedName name="APRD">Sheet1!$D$4</definedName>
    <definedName name="GCC">Sheet1!$C$17</definedName>
    <definedName name="TVCC">Sheet1!$C$14</definedName>
    <definedName name="MB">Sheet1!$B$10</definedName>
    <definedName name="APRF">Sheet1!$F$4</definedName>
    <definedName name="GMB">Sheet1!$B$8</definedName>
    <definedName name="TERMC">Sheet1!$C$5</definedName>
    <definedName name="CYC">Sheet1!$C$16</definedName>
    <definedName name="ID">Sheet1!$D$12</definedName>
    <definedName name="PD">Sheet1!$D$6</definedName>
    <definedName name="MC">Sheet1!$C$10</definedName>
    <definedName name="PVE">Sheet1!$E$2</definedName>
    <definedName name="GPB">Sheet1!$B$9</definedName>
  </definedNames>
  <calcPr/>
</workbook>
</file>

<file path=xl/sharedStrings.xml><?xml version="1.0" encoding="utf-8"?>
<sst xmlns="http://schemas.openxmlformats.org/spreadsheetml/2006/main" count="27" uniqueCount="27">
  <si>
    <t>VEHICLE</t>
  </si>
  <si>
    <t>Car 1</t>
  </si>
  <si>
    <t>Car 2</t>
  </si>
  <si>
    <t>Car 3</t>
  </si>
  <si>
    <t>Car 4</t>
  </si>
  <si>
    <t>Car 5</t>
  </si>
  <si>
    <t>Car 6 -Owned-</t>
  </si>
  <si>
    <t>Vehicle Cost</t>
  </si>
  <si>
    <t>Down Payment</t>
  </si>
  <si>
    <t>Loan Rate</t>
  </si>
  <si>
    <t>Loan Term months</t>
  </si>
  <si>
    <t>Monthly Payment</t>
  </si>
  <si>
    <t>Gas Mileage Ave</t>
  </si>
  <si>
    <t>Gas Price</t>
  </si>
  <si>
    <t>Miles per year</t>
  </si>
  <si>
    <t>Insurance/month</t>
  </si>
  <si>
    <t>Total Vehicle Cost</t>
  </si>
  <si>
    <t>Total Financing Cost</t>
  </si>
  <si>
    <t>Vehicle Cost/year</t>
  </si>
  <si>
    <t>Total Gas Cost/year</t>
  </si>
  <si>
    <t>Price Per Mile</t>
  </si>
  <si>
    <t>Total Yearly Cost</t>
  </si>
  <si>
    <t>Monthly Cost</t>
  </si>
  <si>
    <t>Notes:</t>
  </si>
  <si>
    <t>Blue fields are user set values, Red fields are the products</t>
  </si>
  <si>
    <t>Loan rate MUST be &gt;0</t>
  </si>
  <si>
    <t>To figure cost of fully paid-off vehicle:  Estimate yearly maintenance, set the Loan Rate to .01%, set the Loan Term to 12 (see Column 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</si>
</sst>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</font>
    <font>
      <sz val="10.0"/>
      <color theme="1"/>
      <name val="Arial"/>
    </font>
    <font>
      <sz val="10.0"/>
    </font>
    <font/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1" numFmtId="10" xfId="0" applyAlignment="1" applyFont="1" applyNumberFormat="1">
      <alignment readingOrder="0"/>
    </xf>
    <xf borderId="0" fillId="2" fontId="2" numFmtId="10" xfId="0" applyAlignment="1" applyFont="1" applyNumberFormat="1">
      <alignment readingOrder="0"/>
    </xf>
    <xf borderId="0" fillId="2" fontId="1" numFmtId="10" xfId="0" applyAlignment="1" applyFont="1" applyNumberFormat="1">
      <alignment readingOrder="0"/>
    </xf>
    <xf borderId="0" fillId="2" fontId="4" numFmtId="10" xfId="0" applyAlignment="1" applyFont="1" applyNumberFormat="1">
      <alignment readingOrder="0"/>
    </xf>
    <xf borderId="0" fillId="0" fontId="4" numFmtId="10" xfId="0" applyFont="1" applyNumberFormat="1"/>
    <xf borderId="0" fillId="2" fontId="2" numFmtId="0" xfId="0" applyAlignment="1" applyFont="1">
      <alignment readingOrder="0"/>
    </xf>
    <xf borderId="0" fillId="2" fontId="1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1" numFmtId="164" xfId="0" applyFont="1" applyNumberFormat="1"/>
    <xf borderId="0" fillId="0" fontId="1" numFmtId="164" xfId="0" applyFont="1" applyNumberFormat="1"/>
    <xf borderId="0" fillId="0" fontId="1" numFmtId="0" xfId="0" applyFont="1"/>
    <xf borderId="0" fillId="2" fontId="3" numFmtId="164" xfId="0" applyAlignment="1" applyFont="1" applyNumberFormat="1">
      <alignment readingOrder="0"/>
    </xf>
    <xf borderId="0" fillId="2" fontId="4" numFmtId="0" xfId="0" applyFont="1"/>
    <xf borderId="0" fillId="2" fontId="4" numFmtId="164" xfId="0" applyFont="1" applyNumberFormat="1"/>
    <xf borderId="0" fillId="3" fontId="4" numFmtId="164" xfId="0" applyFont="1" applyNumberFormat="1"/>
    <xf borderId="0" fillId="0" fontId="4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8" width="21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4" t="s">
        <v>7</v>
      </c>
      <c r="B2" s="5">
        <v>17500.0</v>
      </c>
      <c r="C2" s="5">
        <v>11990.0</v>
      </c>
      <c r="D2" s="6">
        <v>5800.0</v>
      </c>
      <c r="E2" s="6">
        <v>8150.0</v>
      </c>
      <c r="F2" s="7">
        <v>7600.0</v>
      </c>
      <c r="G2" s="6">
        <v>1200.0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4" t="s">
        <v>8</v>
      </c>
      <c r="B3" s="6">
        <v>1000.0</v>
      </c>
      <c r="C3" s="6">
        <v>1000.0</v>
      </c>
      <c r="D3" s="6">
        <v>0.0</v>
      </c>
      <c r="E3" s="6">
        <v>0.0</v>
      </c>
      <c r="F3" s="7">
        <v>0.0</v>
      </c>
      <c r="G3" s="6">
        <v>0.0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9</v>
      </c>
      <c r="B4" s="10">
        <v>0.0215</v>
      </c>
      <c r="C4" s="10">
        <v>0.0399</v>
      </c>
      <c r="D4" s="11">
        <v>0.0499</v>
      </c>
      <c r="E4" s="11">
        <v>0.0499</v>
      </c>
      <c r="F4" s="12">
        <v>0.04</v>
      </c>
      <c r="G4" s="11">
        <v>1.0E-4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" t="s">
        <v>10</v>
      </c>
      <c r="B5" s="14">
        <v>72.0</v>
      </c>
      <c r="C5" s="15">
        <v>60.0</v>
      </c>
      <c r="D5" s="14">
        <v>48.0</v>
      </c>
      <c r="E5" s="15">
        <v>60.0</v>
      </c>
      <c r="F5" s="16">
        <v>60.0</v>
      </c>
      <c r="G5" s="15">
        <v>12.0</v>
      </c>
    </row>
    <row r="6">
      <c r="A6" s="4" t="s">
        <v>11</v>
      </c>
      <c r="B6" s="17">
        <f>((APRB/12)*(PVB-DPB))/(1-(1+(APRB/12))^(-TERMB))</f>
        <v>244.4705752</v>
      </c>
      <c r="C6" s="18">
        <f>((APRC/12)*(PVC-DPC))/(1-(1+(APRC/12))^(-TERMC))</f>
        <v>202.347986</v>
      </c>
      <c r="D6" s="18">
        <f>((APRD/12)*(PVD-DPD))/(1-(1+(APRD/12))^(-TERMD))</f>
        <v>133.5436309</v>
      </c>
      <c r="E6" s="18">
        <f>((APRE/12)*(PVE-DPE))/(1-(1+(APRE/12))^(-TERME))</f>
        <v>153.7632183</v>
      </c>
      <c r="F6" s="18">
        <f>((APRF/12)*(PVF-DPF))/(1-(1+(APRF/12))^(-TERMF))</f>
        <v>139.9655676</v>
      </c>
      <c r="G6" s="18">
        <f>((APRG/12)*(PVG+DPG))/(1-(1+(APRG/12))^(-TERMG))</f>
        <v>100.0054167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>
      <c r="A7" s="1"/>
      <c r="B7" s="20"/>
      <c r="C7" s="20"/>
      <c r="D7" s="20"/>
      <c r="E7" s="20"/>
      <c r="G7" s="20"/>
    </row>
    <row r="8">
      <c r="A8" s="1" t="s">
        <v>12</v>
      </c>
      <c r="B8" s="14">
        <v>35.0</v>
      </c>
      <c r="C8" s="14">
        <v>30.0</v>
      </c>
      <c r="D8" s="15">
        <v>28.0</v>
      </c>
      <c r="E8" s="15">
        <v>25.0</v>
      </c>
      <c r="F8" s="16">
        <v>24.0</v>
      </c>
      <c r="G8" s="14">
        <v>14.5</v>
      </c>
    </row>
    <row r="9">
      <c r="A9" s="4" t="s">
        <v>13</v>
      </c>
      <c r="B9" s="5">
        <v>3.19</v>
      </c>
      <c r="C9" s="5">
        <v>3.19</v>
      </c>
      <c r="D9" s="5">
        <v>3.19</v>
      </c>
      <c r="E9" s="5">
        <v>3.19</v>
      </c>
      <c r="F9" s="21">
        <v>3.19</v>
      </c>
      <c r="G9" s="5">
        <v>3.19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1" t="s">
        <v>14</v>
      </c>
      <c r="B10" s="15">
        <v>8000.0</v>
      </c>
      <c r="C10" s="15">
        <v>8000.0</v>
      </c>
      <c r="D10" s="15">
        <v>8000.0</v>
      </c>
      <c r="E10" s="15">
        <v>8000.0</v>
      </c>
      <c r="F10" s="22">
        <v>8000.0</v>
      </c>
      <c r="G10" s="15">
        <v>8000.0</v>
      </c>
    </row>
    <row r="11">
      <c r="A11" s="1"/>
      <c r="B11" s="20"/>
      <c r="C11" s="20"/>
      <c r="D11" s="20"/>
      <c r="E11" s="20"/>
      <c r="G11" s="20"/>
    </row>
    <row r="12">
      <c r="A12" s="1" t="s">
        <v>15</v>
      </c>
      <c r="B12" s="6">
        <v>65.0</v>
      </c>
      <c r="C12" s="6">
        <v>65.0</v>
      </c>
      <c r="D12" s="6">
        <v>65.0</v>
      </c>
      <c r="E12" s="6">
        <v>65.0</v>
      </c>
      <c r="F12" s="23">
        <v>65.0</v>
      </c>
      <c r="G12" s="6">
        <v>65.0</v>
      </c>
    </row>
    <row r="13">
      <c r="A13" s="1"/>
      <c r="B13" s="20"/>
      <c r="C13" s="20"/>
      <c r="D13" s="20"/>
      <c r="E13" s="20"/>
      <c r="G13" s="20"/>
    </row>
    <row r="14">
      <c r="A14" s="1" t="s">
        <v>16</v>
      </c>
      <c r="B14" s="18">
        <f>(PB*TERMB)+DPB</f>
        <v>18601.88142</v>
      </c>
      <c r="C14" s="18">
        <f>(PC*TERMC)+DPC</f>
        <v>13140.87916</v>
      </c>
      <c r="D14" s="18">
        <f>(PD*TERMD)+DPD</f>
        <v>6410.094283</v>
      </c>
      <c r="E14" s="18">
        <f>(PE*TERME)+DPE</f>
        <v>9225.793095</v>
      </c>
      <c r="F14" s="24">
        <f>(PF*TERMF)+DPF</f>
        <v>8397.934057</v>
      </c>
      <c r="G14" s="18">
        <f>(PG*TERMG)+DPG</f>
        <v>1200.065001</v>
      </c>
    </row>
    <row r="15">
      <c r="A15" s="1" t="s">
        <v>17</v>
      </c>
      <c r="B15" s="18">
        <f>TVCB-PVB</f>
        <v>1101.881415</v>
      </c>
      <c r="C15" s="18">
        <f>TVCC-PVC</f>
        <v>1150.879161</v>
      </c>
      <c r="D15" s="18">
        <f>TVCD-PVD</f>
        <v>610.094283</v>
      </c>
      <c r="E15" s="18">
        <f>TVCE-PVE</f>
        <v>1075.793095</v>
      </c>
      <c r="F15" s="24">
        <f>TVCF-PVF</f>
        <v>797.9340572</v>
      </c>
      <c r="G15" s="18">
        <f>TVCG-PVG</f>
        <v>0.06500098563</v>
      </c>
    </row>
    <row r="16">
      <c r="A16" s="1" t="s">
        <v>18</v>
      </c>
      <c r="B16" s="18">
        <f>TVCB/(TERMB/12)</f>
        <v>3100.313569</v>
      </c>
      <c r="C16" s="18">
        <f>TVCC/(TERMC/12)</f>
        <v>2628.175832</v>
      </c>
      <c r="D16" s="18">
        <f>TVCD/(TERMD/12)</f>
        <v>1602.523571</v>
      </c>
      <c r="E16" s="18">
        <f>TVCE/(TERME/12)</f>
        <v>1845.158619</v>
      </c>
      <c r="F16" s="24">
        <f>TVCF/(TERMF/12)</f>
        <v>1679.586811</v>
      </c>
      <c r="G16" s="18">
        <f>TVCG/(TERMG/12)</f>
        <v>1200.065001</v>
      </c>
    </row>
    <row r="17">
      <c r="A17" s="1" t="s">
        <v>19</v>
      </c>
      <c r="B17" s="18">
        <f>(MB/GMB)*GPB</f>
        <v>729.1428571</v>
      </c>
      <c r="C17" s="18">
        <f>(MC/GMC)*GPC</f>
        <v>850.6666667</v>
      </c>
      <c r="D17" s="18">
        <f>(MD/GMD)*GPD</f>
        <v>911.4285714</v>
      </c>
      <c r="E17" s="18">
        <f>(ME/GME)*GPE</f>
        <v>1020.8</v>
      </c>
      <c r="F17" s="24">
        <f>(MF/GMF)*GPF</f>
        <v>1063.333333</v>
      </c>
      <c r="G17" s="18">
        <f>(MG/GMG)*GPG</f>
        <v>1760</v>
      </c>
    </row>
    <row r="18">
      <c r="A18" s="1" t="s">
        <v>20</v>
      </c>
      <c r="B18" s="18">
        <f>(CYB+GCB)/MB</f>
        <v>0.4786820533</v>
      </c>
      <c r="C18" s="18">
        <f>(CYC+GCC)/MC</f>
        <v>0.4348553124</v>
      </c>
      <c r="D18" s="18">
        <f>(CYD+GCD)/MD</f>
        <v>0.3142440178</v>
      </c>
      <c r="E18" s="18">
        <f>(CYE+GCE)/ME</f>
        <v>0.3582448274</v>
      </c>
      <c r="F18" s="24">
        <f>(CYF+GCF)/MF</f>
        <v>0.3428650181</v>
      </c>
      <c r="G18" s="18">
        <f>(CYG+GCG)/MG</f>
        <v>0.3700081251</v>
      </c>
    </row>
    <row r="20">
      <c r="A20" s="25" t="s">
        <v>21</v>
      </c>
      <c r="B20" s="24">
        <f>(IB*12)+CYB+GCB</f>
        <v>4609.456426</v>
      </c>
      <c r="C20" s="24">
        <f>(IC*12)+CYC+GCC</f>
        <v>4258.842499</v>
      </c>
      <c r="D20" s="24">
        <f>(ID*12)+CYD+GCD</f>
        <v>3293.952142</v>
      </c>
      <c r="E20" s="24">
        <f>(IE*12)+CYE+GCE</f>
        <v>3645.958619</v>
      </c>
      <c r="F20" s="24">
        <f>(IF*12)+CYF+GCF</f>
        <v>3522.920145</v>
      </c>
      <c r="G20" s="24">
        <f>(IG*12)+CYG+GCG</f>
        <v>3740.065001</v>
      </c>
    </row>
    <row r="21">
      <c r="A21" s="25" t="s">
        <v>22</v>
      </c>
      <c r="B21" s="24">
        <f t="shared" ref="B21:G21" si="1">B20/12</f>
        <v>384.1213689</v>
      </c>
      <c r="C21" s="24">
        <f t="shared" si="1"/>
        <v>354.9035416</v>
      </c>
      <c r="D21" s="24">
        <f t="shared" si="1"/>
        <v>274.4960118</v>
      </c>
      <c r="E21" s="24">
        <f t="shared" si="1"/>
        <v>303.8298849</v>
      </c>
      <c r="F21" s="24">
        <f t="shared" si="1"/>
        <v>293.5766787</v>
      </c>
      <c r="G21" s="24">
        <f t="shared" si="1"/>
        <v>311.6720834</v>
      </c>
    </row>
    <row r="23">
      <c r="B23" s="26" t="s">
        <v>23</v>
      </c>
      <c r="C23" s="27"/>
      <c r="D23" s="27"/>
      <c r="E23" s="27"/>
      <c r="F23" s="27"/>
      <c r="G23" s="28"/>
    </row>
    <row r="24">
      <c r="B24" s="29" t="s">
        <v>24</v>
      </c>
      <c r="G24" s="30"/>
    </row>
    <row r="25">
      <c r="B25" s="29" t="s">
        <v>25</v>
      </c>
      <c r="G25" s="30"/>
    </row>
    <row r="26">
      <c r="B26" s="31" t="s">
        <v>26</v>
      </c>
      <c r="C26" s="32"/>
      <c r="D26" s="32"/>
      <c r="E26" s="32"/>
      <c r="F26" s="32"/>
      <c r="G26" s="33"/>
    </row>
  </sheetData>
  <drawing r:id="rId1"/>
</worksheet>
</file>