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fc30841563a2ff/Administración de proyectos II/"/>
    </mc:Choice>
  </mc:AlternateContent>
  <xr:revisionPtr revIDLastSave="779" documentId="13_ncr:1_{7BB0D715-9379-469C-B734-784151EE7BC4}" xr6:coauthVersionLast="47" xr6:coauthVersionMax="47" xr10:uidLastSave="{75E5E68C-17D0-467F-A42C-896C5715A205}"/>
  <bookViews>
    <workbookView xWindow="-120" yWindow="-120" windowWidth="20730" windowHeight="11040" tabRatio="684" firstSheet="7" activeTab="5" xr2:uid="{00000000-000D-0000-FFFF-FFFF00000000}"/>
  </bookViews>
  <sheets>
    <sheet name="1.Proceso Productivo" sheetId="1" r:id="rId1"/>
    <sheet name="2.Gastos" sheetId="2" r:id="rId2"/>
    <sheet name="3.Costo del software" sheetId="3" r:id="rId3"/>
    <sheet name="4.Pronostico de Ventas" sheetId="5" r:id="rId4"/>
    <sheet name="5.Activos &amp; Plan de Inversión" sheetId="6" r:id="rId5"/>
    <sheet name="6.Activos Depreciación y Amorti" sheetId="7" r:id="rId6"/>
    <sheet name="7.E.R y F.E " sheetId="8" r:id="rId7"/>
    <sheet name="Organigrama" sheetId="4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8" l="1"/>
  <c r="E8" i="8"/>
  <c r="F8" i="8"/>
  <c r="G8" i="8"/>
  <c r="H8" i="8"/>
  <c r="I8" i="8"/>
  <c r="J8" i="8"/>
  <c r="K8" i="8"/>
  <c r="L8" i="8"/>
  <c r="M8" i="8"/>
  <c r="N8" i="8"/>
  <c r="C8" i="8"/>
  <c r="P4" i="8"/>
  <c r="B17" i="8"/>
  <c r="X19" i="8" s="1"/>
  <c r="R17" i="8"/>
  <c r="S17" i="8" s="1"/>
  <c r="T17" i="8" s="1"/>
  <c r="U17" i="8" s="1"/>
  <c r="Q17" i="8"/>
  <c r="R15" i="8"/>
  <c r="S15" i="8"/>
  <c r="T15" i="8"/>
  <c r="U15" i="8"/>
  <c r="Q15" i="8"/>
  <c r="R9" i="8"/>
  <c r="S9" i="8" s="1"/>
  <c r="T9" i="8" s="1"/>
  <c r="U9" i="8" s="1"/>
  <c r="R10" i="8"/>
  <c r="S10" i="8" s="1"/>
  <c r="T10" i="8" s="1"/>
  <c r="U10" i="8" s="1"/>
  <c r="R11" i="8"/>
  <c r="S11" i="8" s="1"/>
  <c r="T11" i="8" s="1"/>
  <c r="U11" i="8" s="1"/>
  <c r="R12" i="8"/>
  <c r="S12" i="8" s="1"/>
  <c r="T12" i="8" s="1"/>
  <c r="U12" i="8" s="1"/>
  <c r="R13" i="8"/>
  <c r="S13" i="8" s="1"/>
  <c r="T13" i="8" s="1"/>
  <c r="U13" i="8" s="1"/>
  <c r="Q10" i="8"/>
  <c r="Q13" i="8"/>
  <c r="E5" i="5"/>
  <c r="E6" i="5"/>
  <c r="E7" i="5"/>
  <c r="E8" i="5"/>
  <c r="E9" i="5"/>
  <c r="E10" i="5"/>
  <c r="E11" i="5"/>
  <c r="E12" i="5"/>
  <c r="E13" i="5"/>
  <c r="E14" i="5"/>
  <c r="E15" i="5"/>
  <c r="E16" i="5"/>
  <c r="B4" i="8"/>
  <c r="H27" i="6"/>
  <c r="G27" i="6"/>
  <c r="J27" i="6"/>
  <c r="J24" i="6"/>
  <c r="G24" i="6"/>
  <c r="J13" i="6"/>
  <c r="I27" i="6"/>
  <c r="E24" i="6"/>
  <c r="D24" i="6"/>
  <c r="E18" i="8"/>
  <c r="F18" i="8"/>
  <c r="G18" i="8"/>
  <c r="H18" i="8"/>
  <c r="I18" i="8"/>
  <c r="J18" i="8"/>
  <c r="K18" i="8"/>
  <c r="L18" i="8"/>
  <c r="M18" i="8"/>
  <c r="N18" i="8"/>
  <c r="R18" i="8" s="1"/>
  <c r="S18" i="8" s="1"/>
  <c r="T18" i="8" s="1"/>
  <c r="U18" i="8" s="1"/>
  <c r="D18" i="8"/>
  <c r="C18" i="8"/>
  <c r="Q18" i="8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3" i="2"/>
  <c r="F12" i="2"/>
  <c r="F5" i="2"/>
  <c r="F6" i="2"/>
  <c r="F7" i="2"/>
  <c r="B12" i="8"/>
  <c r="Q12" i="8" s="1"/>
  <c r="G4" i="8"/>
  <c r="P9" i="8"/>
  <c r="P10" i="8"/>
  <c r="P12" i="8"/>
  <c r="E4" i="8"/>
  <c r="H4" i="8" s="1"/>
  <c r="E19" i="8" s="1"/>
  <c r="Q20" i="8" l="1"/>
  <c r="S4" i="8"/>
  <c r="H5" i="5"/>
  <c r="H16" i="5"/>
  <c r="R8" i="8" s="1"/>
  <c r="S8" i="8" s="1"/>
  <c r="T8" i="8" s="1"/>
  <c r="U8" i="8" s="1"/>
  <c r="H15" i="5"/>
  <c r="H14" i="5"/>
  <c r="H13" i="5"/>
  <c r="H12" i="5"/>
  <c r="H11" i="5"/>
  <c r="H10" i="5"/>
  <c r="H9" i="5"/>
  <c r="Q8" i="8" s="1"/>
  <c r="H8" i="5"/>
  <c r="H7" i="5"/>
  <c r="H6" i="5"/>
  <c r="F4" i="8"/>
  <c r="H39" i="8" s="1"/>
  <c r="I20" i="8" s="1"/>
  <c r="C19" i="8"/>
  <c r="K19" i="8"/>
  <c r="G19" i="8"/>
  <c r="L19" i="8"/>
  <c r="H19" i="8"/>
  <c r="D19" i="8"/>
  <c r="N19" i="8"/>
  <c r="J19" i="8"/>
  <c r="F19" i="8"/>
  <c r="M19" i="8"/>
  <c r="I19" i="8"/>
  <c r="M39" i="8"/>
  <c r="N20" i="8" s="1"/>
  <c r="R19" i="8" l="1"/>
  <c r="S19" i="8"/>
  <c r="T19" i="8"/>
  <c r="U19" i="8"/>
  <c r="Q19" i="8"/>
  <c r="R20" i="8"/>
  <c r="C29" i="8"/>
  <c r="D29" i="8"/>
  <c r="E29" i="8"/>
  <c r="F29" i="8"/>
  <c r="G29" i="8"/>
  <c r="H29" i="8"/>
  <c r="I29" i="8"/>
  <c r="J29" i="8"/>
  <c r="K29" i="8"/>
  <c r="L29" i="8"/>
  <c r="M29" i="8"/>
  <c r="E39" i="8"/>
  <c r="F20" i="8" s="1"/>
  <c r="F21" i="8" s="1"/>
  <c r="K39" i="8"/>
  <c r="L20" i="8" s="1"/>
  <c r="L21" i="8" s="1"/>
  <c r="C39" i="8"/>
  <c r="D20" i="8" s="1"/>
  <c r="F39" i="8"/>
  <c r="G20" i="8" s="1"/>
  <c r="G21" i="8" s="1"/>
  <c r="G39" i="8"/>
  <c r="H20" i="8" s="1"/>
  <c r="H21" i="8" s="1"/>
  <c r="I39" i="8"/>
  <c r="J20" i="8" s="1"/>
  <c r="J21" i="8" s="1"/>
  <c r="L39" i="8"/>
  <c r="M20" i="8" s="1"/>
  <c r="M21" i="8" s="1"/>
  <c r="J39" i="8"/>
  <c r="K20" i="8" s="1"/>
  <c r="K21" i="8" s="1"/>
  <c r="B39" i="8"/>
  <c r="C20" i="8" s="1"/>
  <c r="D39" i="8"/>
  <c r="E20" i="8" s="1"/>
  <c r="E21" i="8" s="1"/>
  <c r="N21" i="8"/>
  <c r="R21" i="8" s="1"/>
  <c r="S21" i="8" s="1"/>
  <c r="T21" i="8" s="1"/>
  <c r="U21" i="8" s="1"/>
  <c r="D21" i="8"/>
  <c r="I21" i="8"/>
  <c r="S20" i="8" l="1"/>
  <c r="T20" i="8" s="1"/>
  <c r="U20" i="8" s="1"/>
  <c r="T4" i="8"/>
  <c r="C21" i="8"/>
  <c r="R16" i="8"/>
  <c r="S16" i="8" s="1"/>
  <c r="T16" i="8" s="1"/>
  <c r="U16" i="8" s="1"/>
  <c r="Q16" i="8"/>
  <c r="Q39" i="8"/>
  <c r="D38" i="8"/>
  <c r="E38" i="8"/>
  <c r="F38" i="8"/>
  <c r="G38" i="8"/>
  <c r="H38" i="8"/>
  <c r="I38" i="8"/>
  <c r="J38" i="8"/>
  <c r="K38" i="8"/>
  <c r="L38" i="8"/>
  <c r="M38" i="8"/>
  <c r="C38" i="8"/>
  <c r="D36" i="8"/>
  <c r="E36" i="8"/>
  <c r="F36" i="8"/>
  <c r="G36" i="8"/>
  <c r="H36" i="8"/>
  <c r="I36" i="8"/>
  <c r="J36" i="8"/>
  <c r="K36" i="8"/>
  <c r="L36" i="8"/>
  <c r="M36" i="8"/>
  <c r="R36" i="8" s="1"/>
  <c r="S36" i="8" s="1"/>
  <c r="T36" i="8" s="1"/>
  <c r="U36" i="8" s="1"/>
  <c r="C36" i="8"/>
  <c r="B36" i="8"/>
  <c r="C35" i="8"/>
  <c r="D35" i="8"/>
  <c r="E35" i="8"/>
  <c r="E37" i="8" s="1"/>
  <c r="F35" i="8"/>
  <c r="G35" i="8"/>
  <c r="H35" i="8"/>
  <c r="I35" i="8"/>
  <c r="I37" i="8" s="1"/>
  <c r="J35" i="8"/>
  <c r="K35" i="8"/>
  <c r="L35" i="8"/>
  <c r="M35" i="8"/>
  <c r="C14" i="8"/>
  <c r="D14" i="8"/>
  <c r="E14" i="8"/>
  <c r="F14" i="8"/>
  <c r="G14" i="8"/>
  <c r="H14" i="8"/>
  <c r="I14" i="8"/>
  <c r="J14" i="8"/>
  <c r="K14" i="8"/>
  <c r="L14" i="8"/>
  <c r="M14" i="8"/>
  <c r="N14" i="8"/>
  <c r="R14" i="8" s="1"/>
  <c r="S14" i="8" s="1"/>
  <c r="T14" i="8" s="1"/>
  <c r="U14" i="8" s="1"/>
  <c r="E4" i="7"/>
  <c r="G4" i="7" s="1"/>
  <c r="E5" i="7"/>
  <c r="G5" i="7" s="1"/>
  <c r="E6" i="7"/>
  <c r="G6" i="7" s="1"/>
  <c r="E7" i="7"/>
  <c r="G7" i="7" s="1"/>
  <c r="E8" i="7"/>
  <c r="G8" i="7" s="1"/>
  <c r="E9" i="7"/>
  <c r="G9" i="7" s="1"/>
  <c r="E10" i="7"/>
  <c r="G10" i="7" s="1"/>
  <c r="E11" i="7"/>
  <c r="G11" i="7" s="1"/>
  <c r="E3" i="7"/>
  <c r="G3" i="7" s="1"/>
  <c r="J3" i="7" s="1" a="1"/>
  <c r="J3" i="7" s="1"/>
  <c r="K2" i="8" s="1"/>
  <c r="E7" i="6"/>
  <c r="H7" i="6" s="1"/>
  <c r="E8" i="6"/>
  <c r="G8" i="6" s="1"/>
  <c r="E9" i="6"/>
  <c r="H9" i="6" s="1"/>
  <c r="E10" i="6"/>
  <c r="G10" i="6" s="1"/>
  <c r="E25" i="6"/>
  <c r="H25" i="6" s="1"/>
  <c r="E26" i="6"/>
  <c r="G26" i="6" s="1"/>
  <c r="E17" i="6"/>
  <c r="H17" i="6" s="1"/>
  <c r="E18" i="6"/>
  <c r="E19" i="6"/>
  <c r="H19" i="6" s="1"/>
  <c r="E20" i="6"/>
  <c r="H20" i="6" s="1"/>
  <c r="E16" i="6"/>
  <c r="E11" i="6"/>
  <c r="G11" i="6" s="1"/>
  <c r="B11" i="8" s="1"/>
  <c r="Q11" i="8" s="1"/>
  <c r="E12" i="6"/>
  <c r="E13" i="6"/>
  <c r="E6" i="6"/>
  <c r="H6" i="6" s="1"/>
  <c r="E30" i="3"/>
  <c r="E26" i="3"/>
  <c r="E24" i="3"/>
  <c r="E21" i="3"/>
  <c r="E22" i="3"/>
  <c r="E18" i="3"/>
  <c r="E14" i="3"/>
  <c r="E13" i="3"/>
  <c r="E9" i="3"/>
  <c r="E8" i="3"/>
  <c r="E11" i="3"/>
  <c r="E7" i="3"/>
  <c r="E6" i="3"/>
  <c r="E21" i="2"/>
  <c r="E22" i="2"/>
  <c r="E12" i="3"/>
  <c r="E15" i="3"/>
  <c r="E16" i="3"/>
  <c r="E17" i="3"/>
  <c r="E19" i="3"/>
  <c r="E20" i="3"/>
  <c r="E23" i="3"/>
  <c r="E25" i="3"/>
  <c r="E27" i="3"/>
  <c r="E28" i="3"/>
  <c r="E29" i="3"/>
  <c r="E31" i="3"/>
  <c r="E32" i="3"/>
  <c r="E33" i="3"/>
  <c r="E10" i="3"/>
  <c r="E5" i="3"/>
  <c r="E34" i="3"/>
  <c r="D35" i="2"/>
  <c r="D36" i="2"/>
  <c r="G42" i="5"/>
  <c r="E26" i="5"/>
  <c r="F26" i="5"/>
  <c r="G26" i="5"/>
  <c r="E27" i="5"/>
  <c r="F27" i="5"/>
  <c r="G27" i="5"/>
  <c r="E28" i="5"/>
  <c r="F28" i="5"/>
  <c r="G28" i="5"/>
  <c r="E29" i="5"/>
  <c r="F29" i="5"/>
  <c r="G29" i="5"/>
  <c r="E30" i="5"/>
  <c r="F30" i="5"/>
  <c r="G30" i="5"/>
  <c r="E31" i="5"/>
  <c r="F31" i="5"/>
  <c r="G31" i="5"/>
  <c r="E32" i="5"/>
  <c r="F32" i="5"/>
  <c r="G32" i="5"/>
  <c r="E21" i="5"/>
  <c r="F21" i="5"/>
  <c r="B29" i="8"/>
  <c r="B35" i="8" s="1"/>
  <c r="Q35" i="8" s="1"/>
  <c r="D22" i="5"/>
  <c r="D23" i="5"/>
  <c r="D24" i="5"/>
  <c r="D25" i="5"/>
  <c r="E25" i="5"/>
  <c r="F25" i="5"/>
  <c r="G25" i="5"/>
  <c r="D30" i="2"/>
  <c r="D31" i="2"/>
  <c r="D32" i="2"/>
  <c r="D33" i="2"/>
  <c r="D34" i="2"/>
  <c r="D37" i="2"/>
  <c r="D29" i="2"/>
  <c r="F14" i="2"/>
  <c r="D38" i="2"/>
  <c r="E24" i="5"/>
  <c r="F24" i="5"/>
  <c r="G24" i="5"/>
  <c r="E23" i="5"/>
  <c r="F23" i="5"/>
  <c r="G23" i="5"/>
  <c r="G21" i="5"/>
  <c r="E22" i="5"/>
  <c r="F22" i="5"/>
  <c r="G22" i="5"/>
  <c r="F17" i="5"/>
  <c r="F8" i="2"/>
  <c r="F33" i="5"/>
  <c r="S35" i="8" l="1"/>
  <c r="E22" i="6"/>
  <c r="H16" i="6"/>
  <c r="B9" i="8" s="1"/>
  <c r="Q9" i="8" s="1"/>
  <c r="C40" i="8"/>
  <c r="D40" i="8"/>
  <c r="E40" i="8"/>
  <c r="F40" i="8"/>
  <c r="G40" i="8"/>
  <c r="H40" i="8"/>
  <c r="I40" i="8"/>
  <c r="J40" i="8"/>
  <c r="K40" i="8"/>
  <c r="L40" i="8"/>
  <c r="M40" i="8"/>
  <c r="R40" i="8" s="1"/>
  <c r="S40" i="8" s="1"/>
  <c r="T40" i="8" s="1"/>
  <c r="U40" i="8" s="1"/>
  <c r="B40" i="8"/>
  <c r="Q40" i="8" s="1"/>
  <c r="J4" i="7" a="1"/>
  <c r="J4" i="7" s="1"/>
  <c r="K3" i="8" s="1"/>
  <c r="L37" i="8"/>
  <c r="H37" i="8"/>
  <c r="D37" i="8"/>
  <c r="J37" i="8"/>
  <c r="F37" i="8"/>
  <c r="Q36" i="8"/>
  <c r="C37" i="8"/>
  <c r="K37" i="8"/>
  <c r="G37" i="8"/>
  <c r="R38" i="8"/>
  <c r="S38" i="8"/>
  <c r="R35" i="8"/>
  <c r="U35" i="8" s="1"/>
  <c r="T35" i="8"/>
  <c r="B14" i="8"/>
  <c r="Q14" i="8" s="1"/>
  <c r="B37" i="8"/>
  <c r="M37" i="8"/>
  <c r="E14" i="6"/>
  <c r="E27" i="6"/>
  <c r="C41" i="8" l="1"/>
  <c r="C42" i="8" s="1"/>
  <c r="C45" i="8" s="1"/>
  <c r="D41" i="8"/>
  <c r="D42" i="8" s="1"/>
  <c r="D45" i="8" s="1"/>
  <c r="E41" i="8"/>
  <c r="E42" i="8" s="1"/>
  <c r="E45" i="8" s="1"/>
  <c r="F41" i="8"/>
  <c r="F42" i="8" s="1"/>
  <c r="F45" i="8" s="1"/>
  <c r="G41" i="8"/>
  <c r="G42" i="8" s="1"/>
  <c r="G45" i="8" s="1"/>
  <c r="H41" i="8"/>
  <c r="H42" i="8" s="1"/>
  <c r="H44" i="8" s="1"/>
  <c r="I41" i="8"/>
  <c r="I42" i="8" s="1"/>
  <c r="I45" i="8" s="1"/>
  <c r="J41" i="8"/>
  <c r="J42" i="8" s="1"/>
  <c r="K41" i="8"/>
  <c r="K42" i="8" s="1"/>
  <c r="K44" i="8" s="1"/>
  <c r="L41" i="8"/>
  <c r="L42" i="8" s="1"/>
  <c r="L44" i="8" s="1"/>
  <c r="M41" i="8"/>
  <c r="R41" i="8" s="1"/>
  <c r="S41" i="8" s="1"/>
  <c r="T41" i="8" s="1"/>
  <c r="U41" i="8" s="1"/>
  <c r="B41" i="8"/>
  <c r="Q41" i="8" s="1"/>
  <c r="L45" i="8"/>
  <c r="F44" i="8"/>
  <c r="F46" i="8" s="1"/>
  <c r="K45" i="8"/>
  <c r="K46" i="8" s="1"/>
  <c r="G44" i="8"/>
  <c r="G46" i="8" s="1"/>
  <c r="D44" i="8"/>
  <c r="D46" i="8" s="1"/>
  <c r="C44" i="8"/>
  <c r="C46" i="8" s="1"/>
  <c r="H45" i="8"/>
  <c r="H46" i="8" s="1"/>
  <c r="I44" i="8"/>
  <c r="I46" i="8" s="1"/>
  <c r="E44" i="8"/>
  <c r="E46" i="8" s="1"/>
  <c r="L46" i="8"/>
  <c r="R37" i="8"/>
  <c r="S37" i="8" s="1"/>
  <c r="T37" i="8" s="1"/>
  <c r="U37" i="8" s="1"/>
  <c r="M42" i="8"/>
  <c r="Q37" i="8"/>
  <c r="E28" i="6"/>
  <c r="J45" i="8" l="1"/>
  <c r="J44" i="8"/>
  <c r="J46" i="8" s="1"/>
  <c r="B21" i="8"/>
  <c r="Q21" i="8" s="1"/>
  <c r="B38" i="8"/>
  <c r="Q38" i="8" s="1"/>
  <c r="H47" i="8"/>
  <c r="I22" i="8"/>
  <c r="I23" i="8" s="1"/>
  <c r="I24" i="8" s="1"/>
  <c r="J47" i="8"/>
  <c r="K22" i="8"/>
  <c r="K23" i="8" s="1"/>
  <c r="K24" i="8" s="1"/>
  <c r="E47" i="8"/>
  <c r="F22" i="8"/>
  <c r="F23" i="8" s="1"/>
  <c r="F24" i="8" s="1"/>
  <c r="K47" i="8"/>
  <c r="L22" i="8"/>
  <c r="L23" i="8" s="1"/>
  <c r="L24" i="8" s="1"/>
  <c r="L47" i="8"/>
  <c r="M22" i="8"/>
  <c r="M23" i="8" s="1"/>
  <c r="M24" i="8" s="1"/>
  <c r="D47" i="8"/>
  <c r="E22" i="8"/>
  <c r="E23" i="8" s="1"/>
  <c r="E24" i="8" s="1"/>
  <c r="F47" i="8"/>
  <c r="G22" i="8"/>
  <c r="G23" i="8" s="1"/>
  <c r="G24" i="8" s="1"/>
  <c r="G47" i="8"/>
  <c r="H22" i="8"/>
  <c r="H23" i="8" s="1"/>
  <c r="H24" i="8" s="1"/>
  <c r="I47" i="8"/>
  <c r="J22" i="8"/>
  <c r="J23" i="8" s="1"/>
  <c r="J24" i="8" s="1"/>
  <c r="C47" i="8"/>
  <c r="D22" i="8"/>
  <c r="D23" i="8" s="1"/>
  <c r="D24" i="8" s="1"/>
  <c r="R42" i="8"/>
  <c r="S42" i="8" s="1"/>
  <c r="T42" i="8" s="1"/>
  <c r="U42" i="8" s="1"/>
  <c r="M45" i="8"/>
  <c r="R45" i="8" s="1"/>
  <c r="S45" i="8" s="1"/>
  <c r="T45" i="8" s="1"/>
  <c r="U45" i="8" s="1"/>
  <c r="M44" i="8"/>
  <c r="B42" i="8" l="1"/>
  <c r="B23" i="8"/>
  <c r="R44" i="8"/>
  <c r="S44" i="8" s="1"/>
  <c r="T44" i="8" s="1"/>
  <c r="U44" i="8" s="1"/>
  <c r="M46" i="8"/>
  <c r="N22" i="8" s="1"/>
  <c r="R22" i="8" s="1"/>
  <c r="S22" i="8" s="1"/>
  <c r="T22" i="8" s="1"/>
  <c r="U22" i="8" s="1"/>
  <c r="B24" i="8" l="1"/>
  <c r="B25" i="8"/>
  <c r="Q42" i="8"/>
  <c r="B45" i="8"/>
  <c r="Q45" i="8" s="1"/>
  <c r="B44" i="8"/>
  <c r="T38" i="8"/>
  <c r="U38" i="8"/>
  <c r="N23" i="8"/>
  <c r="R23" i="8" s="1"/>
  <c r="S23" i="8" s="1"/>
  <c r="T23" i="8" s="1"/>
  <c r="U23" i="8" s="1"/>
  <c r="R46" i="8"/>
  <c r="S46" i="8" s="1"/>
  <c r="T46" i="8" s="1"/>
  <c r="U46" i="8" s="1"/>
  <c r="M47" i="8"/>
  <c r="R47" i="8" s="1"/>
  <c r="S47" i="8" s="1"/>
  <c r="T47" i="8" s="1"/>
  <c r="U47" i="8" s="1"/>
  <c r="Q44" i="8" l="1"/>
  <c r="B46" i="8"/>
  <c r="N24" i="8"/>
  <c r="R24" i="8" s="1"/>
  <c r="S24" i="8" l="1"/>
  <c r="T24" i="8" s="1"/>
  <c r="U24" i="8" s="1"/>
  <c r="X21" i="8"/>
  <c r="C22" i="8"/>
  <c r="Q22" i="8" s="1"/>
  <c r="B47" i="8"/>
  <c r="Q47" i="8" s="1"/>
  <c r="Q46" i="8"/>
  <c r="C23" i="8" l="1"/>
  <c r="Q23" i="8" s="1"/>
  <c r="X22" i="8"/>
  <c r="C24" i="8" l="1"/>
  <c r="Q24" i="8" s="1"/>
  <c r="X23" i="8" l="1"/>
  <c r="X24" i="8"/>
  <c r="C25" i="8"/>
  <c r="X20" i="8"/>
  <c r="AA20" i="8" s="1"/>
  <c r="AA18" i="8" l="1"/>
  <c r="D25" i="8"/>
  <c r="E25" i="8" l="1"/>
  <c r="F25" i="8" s="1"/>
  <c r="G25" i="8" s="1"/>
  <c r="H25" i="8" s="1"/>
  <c r="I25" i="8" s="1"/>
  <c r="J25" i="8" s="1"/>
  <c r="K25" i="8" s="1"/>
  <c r="L25" i="8" s="1"/>
  <c r="M25" i="8" s="1"/>
  <c r="N25" i="8" s="1"/>
  <c r="R25" i="8" s="1"/>
  <c r="S25" i="8" s="1"/>
  <c r="T25" i="8" s="1"/>
  <c r="U25" i="8" s="1"/>
  <c r="Q2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<sst xmlns="http://schemas.openxmlformats.org/spreadsheetml/2006/main" count="659" uniqueCount="373">
  <si>
    <t>1) Producción</t>
  </si>
  <si>
    <t>Clave</t>
  </si>
  <si>
    <t>Actividad</t>
  </si>
  <si>
    <t>Máquina</t>
  </si>
  <si>
    <t>Herramientas</t>
  </si>
  <si>
    <t>Participante</t>
  </si>
  <si>
    <t>Insumos</t>
  </si>
  <si>
    <t>Verbo</t>
  </si>
  <si>
    <t>Sustantivo</t>
  </si>
  <si>
    <t>Artículo</t>
  </si>
  <si>
    <t>Unidad</t>
  </si>
  <si>
    <t xml:space="preserve">Cantidad </t>
  </si>
  <si>
    <t xml:space="preserve">Inicia </t>
  </si>
  <si>
    <t>sesión (vacacionista)</t>
  </si>
  <si>
    <t>celular</t>
  </si>
  <si>
    <t>App-Ventures</t>
  </si>
  <si>
    <t>Admin. Sistemas</t>
  </si>
  <si>
    <t>internet</t>
  </si>
  <si>
    <t>mensual</t>
  </si>
  <si>
    <t>sesión (asociado)</t>
  </si>
  <si>
    <t>servidor</t>
  </si>
  <si>
    <t>Activa</t>
  </si>
  <si>
    <t>ubicación (vacacionista)</t>
  </si>
  <si>
    <t>n/a</t>
  </si>
  <si>
    <t>apertura (asociado)</t>
  </si>
  <si>
    <t xml:space="preserve">Filtra </t>
  </si>
  <si>
    <t>búsqueda (vacacionista)</t>
  </si>
  <si>
    <t>proporciona</t>
  </si>
  <si>
    <t>qr (asociado)</t>
  </si>
  <si>
    <t>Elije</t>
  </si>
  <si>
    <t>Elegir la opcion deseada (vacacionista)</t>
  </si>
  <si>
    <t xml:space="preserve">Iniciar </t>
  </si>
  <si>
    <t>Sesión 2 (vacacionista)</t>
  </si>
  <si>
    <t>2) Marketing</t>
  </si>
  <si>
    <t xml:space="preserve">Unidad </t>
  </si>
  <si>
    <t>Cantidad</t>
  </si>
  <si>
    <t>Publicitar</t>
  </si>
  <si>
    <t>en redes sociales</t>
  </si>
  <si>
    <t>Facebook, Instagram y Google Search</t>
  </si>
  <si>
    <t>Promotor de ventas</t>
  </si>
  <si>
    <t>Venta</t>
  </si>
  <si>
    <t>presencial</t>
  </si>
  <si>
    <t>tablet</t>
  </si>
  <si>
    <t>Colocar</t>
  </si>
  <si>
    <t>carteles</t>
  </si>
  <si>
    <t>Carteles</t>
  </si>
  <si>
    <t>impresos</t>
  </si>
  <si>
    <t>pieza</t>
  </si>
  <si>
    <t>Crear</t>
  </si>
  <si>
    <t>promociones para la app</t>
  </si>
  <si>
    <t>Canva</t>
  </si>
  <si>
    <t>Qr</t>
  </si>
  <si>
    <t>Aumentar</t>
  </si>
  <si>
    <t>ventas</t>
  </si>
  <si>
    <t>PC</t>
  </si>
  <si>
    <t>Play Store y Microsoft Teams</t>
  </si>
  <si>
    <t>Coordinador de ventas</t>
  </si>
  <si>
    <t>Luz</t>
  </si>
  <si>
    <t>bimestral</t>
  </si>
  <si>
    <t>3) Recursos Humanos</t>
  </si>
  <si>
    <t>Buscar</t>
  </si>
  <si>
    <t>personal</t>
  </si>
  <si>
    <t>Outlook</t>
  </si>
  <si>
    <t>Reclutador externo</t>
  </si>
  <si>
    <t xml:space="preserve">Elaborar </t>
  </si>
  <si>
    <t>contratos</t>
  </si>
  <si>
    <t>Word</t>
  </si>
  <si>
    <t>Encargado de recursos humanos</t>
  </si>
  <si>
    <t>Contratar</t>
  </si>
  <si>
    <t>Google Forms</t>
  </si>
  <si>
    <t xml:space="preserve">Gestionar </t>
  </si>
  <si>
    <t>horarios</t>
  </si>
  <si>
    <t>monday.com</t>
  </si>
  <si>
    <t xml:space="preserve">Pagar </t>
  </si>
  <si>
    <t>la nómina</t>
  </si>
  <si>
    <t>a3innuva Nómina</t>
  </si>
  <si>
    <t>4) Contabilidad y finanzas</t>
  </si>
  <si>
    <t xml:space="preserve">Controlar </t>
  </si>
  <si>
    <t>egresos e ingresos</t>
  </si>
  <si>
    <t>Excel</t>
  </si>
  <si>
    <t>Contador</t>
  </si>
  <si>
    <t>luz e internet</t>
  </si>
  <si>
    <t>Ofrecer</t>
  </si>
  <si>
    <t>información del estado económico</t>
  </si>
  <si>
    <t>Realizar</t>
  </si>
  <si>
    <t>inventario de activos y pasivos</t>
  </si>
  <si>
    <t>Elaborar</t>
  </si>
  <si>
    <t>facturas</t>
  </si>
  <si>
    <t>los estados financieros</t>
  </si>
  <si>
    <t>5) Dirección y organización</t>
  </si>
  <si>
    <t xml:space="preserve">Asignar </t>
  </si>
  <si>
    <t>recursos</t>
  </si>
  <si>
    <t>Banca Electronica BBVA</t>
  </si>
  <si>
    <t>Coordinador de operaciones</t>
  </si>
  <si>
    <t>Gestionar</t>
  </si>
  <si>
    <t>colaboradores</t>
  </si>
  <si>
    <t>Zoho Proyect</t>
  </si>
  <si>
    <t>planes y estrategias</t>
  </si>
  <si>
    <t>Distribuir</t>
  </si>
  <si>
    <t>tareas y responsabilidades</t>
  </si>
  <si>
    <t xml:space="preserve">Brindar </t>
  </si>
  <si>
    <t>orientación</t>
  </si>
  <si>
    <t>Acciones de promoción y publicidad</t>
  </si>
  <si>
    <t>OPERACIÓN PREOPERATIVA </t>
  </si>
  <si>
    <t>Concepto </t>
  </si>
  <si>
    <t>Unidad </t>
  </si>
  <si>
    <t>Cantidad </t>
  </si>
  <si>
    <r>
      <rPr>
        <sz val="12"/>
        <rFont val="Arial"/>
        <family val="2"/>
      </rPr>
      <t xml:space="preserve">Precio </t>
    </r>
    <r>
      <rPr>
        <sz val="12"/>
        <rFont val="Arial"/>
        <family val="2"/>
      </rPr>
      <t>x día</t>
    </r>
  </si>
  <si>
    <t>Dias</t>
  </si>
  <si>
    <t>Total</t>
  </si>
  <si>
    <t>Redes sociales </t>
  </si>
  <si>
    <t>Dia </t>
  </si>
  <si>
    <t>Mupis </t>
  </si>
  <si>
    <t>Pieza </t>
  </si>
  <si>
    <t>Poster Publicitario en pasillos de aeropuerto </t>
  </si>
  <si>
    <t>OPERACIÓN OPERATIVA MENSUAL</t>
  </si>
  <si>
    <t>Precio x dia</t>
  </si>
  <si>
    <t>Total </t>
  </si>
  <si>
    <t>Espacio publicitario en sala de última espera, en impresión vinil </t>
  </si>
  <si>
    <t>Redes sociales (Facebook, Instagram, Google Search) </t>
  </si>
  <si>
    <t>Día </t>
  </si>
  <si>
    <t>Insumos y rentas</t>
  </si>
  <si>
    <t>Articulo</t>
  </si>
  <si>
    <t>Cantidad / Paquetes</t>
  </si>
  <si>
    <t>Dias en Oficina</t>
  </si>
  <si>
    <t>Costo por dia</t>
  </si>
  <si>
    <t>Costo mensual</t>
  </si>
  <si>
    <t xml:space="preserve">Internet </t>
  </si>
  <si>
    <t>Oficina</t>
  </si>
  <si>
    <t>Sueldos</t>
  </si>
  <si>
    <t>Puestos</t>
  </si>
  <si>
    <t>Sueldo Bruto</t>
  </si>
  <si>
    <t>Administrador de sistemas</t>
  </si>
  <si>
    <t>Encargado de R.H</t>
  </si>
  <si>
    <t xml:space="preserve">Reclutador </t>
  </si>
  <si>
    <t>Desarrollador/Diseñador</t>
  </si>
  <si>
    <t>Tester</t>
  </si>
  <si>
    <t>Costo del software</t>
  </si>
  <si>
    <t>Responsable</t>
  </si>
  <si>
    <t>Horas</t>
  </si>
  <si>
    <t>Costo x hora</t>
  </si>
  <si>
    <t>Costo Total</t>
  </si>
  <si>
    <t>Planificación</t>
  </si>
  <si>
    <t>Analisis de requisitos</t>
  </si>
  <si>
    <t>Diseñador</t>
  </si>
  <si>
    <t>Establecimiento de alcance</t>
  </si>
  <si>
    <t>Desarrollador</t>
  </si>
  <si>
    <t>Planificación de recursos</t>
  </si>
  <si>
    <t>Diseño de la arquitectura</t>
  </si>
  <si>
    <t>Estimación de costos</t>
  </si>
  <si>
    <t>Asignación de tareas</t>
  </si>
  <si>
    <t>Diseño</t>
  </si>
  <si>
    <t>Elegir la tecnología</t>
  </si>
  <si>
    <t>Selección de patrones de diseño</t>
  </si>
  <si>
    <t>Definición de la estructura del sistema</t>
  </si>
  <si>
    <t>Diseño de interfaz</t>
  </si>
  <si>
    <t xml:space="preserve">Diseñador </t>
  </si>
  <si>
    <t>Identificar las herramientas de desarrollo</t>
  </si>
  <si>
    <t>Implentación</t>
  </si>
  <si>
    <t>Documentación</t>
  </si>
  <si>
    <t>Codificar</t>
  </si>
  <si>
    <t>Pruebas</t>
  </si>
  <si>
    <t>Definición de estrategia de pruebas</t>
  </si>
  <si>
    <t>Establecimiento de entornos de prueba</t>
  </si>
  <si>
    <t xml:space="preserve">Desarrollo de casos de pruebas </t>
  </si>
  <si>
    <t>Elaboración de reportes de pruebas</t>
  </si>
  <si>
    <t>Comprobar si cumple los requisitos del cliente</t>
  </si>
  <si>
    <t>Corregir errores</t>
  </si>
  <si>
    <t>Despliegue</t>
  </si>
  <si>
    <t>Despliegue a producción</t>
  </si>
  <si>
    <t>Configuración del entorno</t>
  </si>
  <si>
    <t>Entrega de documentación</t>
  </si>
  <si>
    <t>Mantenimiento</t>
  </si>
  <si>
    <t>Administrar los cambios realizados</t>
  </si>
  <si>
    <t>PRONÓSTICO DE VENTAS</t>
  </si>
  <si>
    <t>Tomando en cuenta la afluencia del aeropuerto de la CDMX en 2022, tomaremos como universo el 10% de esa afluencia por mes</t>
  </si>
  <si>
    <t>Mes</t>
  </si>
  <si>
    <t>Afluencia</t>
  </si>
  <si>
    <t>UNIVERSO
10% de la afluencia (lo tomamos determinando la cantidad de personas que verán nuestra publicidad)</t>
  </si>
  <si>
    <t>20% del 20% del universo(personas que realmente ven nuestra publicidad)</t>
  </si>
  <si>
    <t>56.4% del universo de cada mes (Encuestas)</t>
  </si>
  <si>
    <t>Pronostico de acuerdo al costo de nuestra app que es de $50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</si>
  <si>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</si>
  <si>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</si>
  <si>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</si>
  <si>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</si>
  <si>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</si>
  <si>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</si>
  <si>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</si>
  <si>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</si>
  <si>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</si>
  <si>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</si>
  <si>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</si>
  <si>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</si>
  <si>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de descargas al año</t>
  </si>
  <si>
    <t>Número Vendedores</t>
  </si>
  <si>
    <t>Total de ventas esperadas x  mes ( 7 ventas prospectas)</t>
  </si>
  <si>
    <t>Total de ventas efectivas (60% de las ventas prospectas)</t>
  </si>
  <si>
    <t>44% de las encuestas consideran un precio de entre $150-$170</t>
  </si>
  <si>
    <t>Total de ventas al año</t>
  </si>
  <si>
    <t>Encuestas reales a los asociados</t>
  </si>
  <si>
    <t>Zonas turisticas de la CDMX</t>
  </si>
  <si>
    <t>Negocio</t>
  </si>
  <si>
    <t>Nombre</t>
  </si>
  <si>
    <t>cantidad</t>
  </si>
  <si>
    <t xml:space="preserve">Restaurante bar </t>
  </si>
  <si>
    <t>Las jugosas del pipo</t>
  </si>
  <si>
    <t xml:space="preserve">Restaurantes totales </t>
  </si>
  <si>
    <t xml:space="preserve">Restaurante  </t>
  </si>
  <si>
    <t>Pits Terraza</t>
  </si>
  <si>
    <t>Hoteles</t>
  </si>
  <si>
    <t>Local</t>
  </si>
  <si>
    <t>Las marquesitas</t>
  </si>
  <si>
    <t>Museos</t>
  </si>
  <si>
    <t>Museo</t>
  </si>
  <si>
    <t>El estanquillo</t>
  </si>
  <si>
    <t xml:space="preserve">Zonas de interés </t>
  </si>
  <si>
    <t>Castillo de Chapultepec</t>
  </si>
  <si>
    <t>Memoria y tolerancia</t>
  </si>
  <si>
    <t>Zona arqueológica</t>
  </si>
  <si>
    <t>Las piramides de tenayuca</t>
  </si>
  <si>
    <t>Plan de inversión</t>
  </si>
  <si>
    <t>Inversión inicial</t>
  </si>
  <si>
    <t>PU</t>
  </si>
  <si>
    <t>Origen del recurso</t>
  </si>
  <si>
    <t>Activos</t>
  </si>
  <si>
    <t>Aportación de los socios</t>
  </si>
  <si>
    <t>Prestamo Gubernamental 17% anual</t>
  </si>
  <si>
    <t>Prestamo Bancario 20% anual</t>
  </si>
  <si>
    <t>Prestamo Familiar</t>
  </si>
  <si>
    <t>Largo plazo</t>
  </si>
  <si>
    <t>Licencia de windows</t>
  </si>
  <si>
    <t>Licencia</t>
  </si>
  <si>
    <t>Laptop Lenovo Ryzen 7 12gb, 480GB SDD</t>
  </si>
  <si>
    <t>Equipo</t>
  </si>
  <si>
    <t>Huawei P30 Lite 8 Ram, 132GB Memoria Interna</t>
  </si>
  <si>
    <t>Tablet Ipad Mini</t>
  </si>
  <si>
    <t>Impresora Epson L320</t>
  </si>
  <si>
    <t>Servidor Lenovo</t>
  </si>
  <si>
    <t>App - Ventures</t>
  </si>
  <si>
    <t>Corto plazo</t>
  </si>
  <si>
    <t>Paquete Office y Teams</t>
  </si>
  <si>
    <t xml:space="preserve">Google Forms </t>
  </si>
  <si>
    <t>Gastos Preoperativos</t>
  </si>
  <si>
    <t>Total de la inversión</t>
  </si>
  <si>
    <t>Interes Compuesto anual</t>
  </si>
  <si>
    <t>Capital de trabajo(monto adicional a pedir)</t>
  </si>
  <si>
    <t xml:space="preserve">NOTA: </t>
  </si>
  <si>
    <t>Cada integrante pondrá $75,000</t>
  </si>
  <si>
    <t>Tangible/ Intangible</t>
  </si>
  <si>
    <t>Activos a Largo Plazo</t>
  </si>
  <si>
    <t>Precio de Compra</t>
  </si>
  <si>
    <t>Valor de Salvamento</t>
  </si>
  <si>
    <t>Base de depeciación/amortización</t>
  </si>
  <si>
    <t>Factor de depreciación</t>
  </si>
  <si>
    <t>Depreciación amortización anual</t>
  </si>
  <si>
    <t>Intangible</t>
  </si>
  <si>
    <t>Amortización Anual</t>
  </si>
  <si>
    <t>Tangible</t>
  </si>
  <si>
    <t>Telefonos Celulares</t>
  </si>
  <si>
    <t>Depreciación Anual</t>
  </si>
  <si>
    <t>Tablets</t>
  </si>
  <si>
    <t>Servidor</t>
  </si>
  <si>
    <t>Play Store</t>
  </si>
  <si>
    <t>Gastos  preoperativos</t>
  </si>
  <si>
    <t>PRESTAMO INTERES SIMPLE</t>
  </si>
  <si>
    <t>PRESTAMO INTERES COMPUESTO</t>
  </si>
  <si>
    <t>MONTO</t>
  </si>
  <si>
    <t>INTERES ANUAL</t>
  </si>
  <si>
    <t>AÑOS A PAGAR</t>
  </si>
  <si>
    <t>MESES A PAGAR</t>
  </si>
  <si>
    <t>INTERES MENSUAL</t>
  </si>
  <si>
    <t>INTERES TOTAL A PAGAR</t>
  </si>
  <si>
    <t>PAGO DEL PRESTAMO SIN INTERESES</t>
  </si>
  <si>
    <t>TASA DE INTERES ANUAL</t>
  </si>
  <si>
    <t>PAGO DEL PRESTAMO SIN INTERES</t>
  </si>
  <si>
    <t>ADEUDO TOTAL PRESTAMO</t>
  </si>
  <si>
    <t>Flujo de efectivo</t>
  </si>
  <si>
    <t>Flujo de efectivo (anual)</t>
  </si>
  <si>
    <t>ENTRADAS</t>
  </si>
  <si>
    <t xml:space="preserve"> MES 0 </t>
  </si>
  <si>
    <t xml:space="preserve"> MES 1</t>
  </si>
  <si>
    <t xml:space="preserve"> MES 2</t>
  </si>
  <si>
    <t xml:space="preserve"> MES 3</t>
  </si>
  <si>
    <t xml:space="preserve"> MES 4</t>
  </si>
  <si>
    <t xml:space="preserve"> MES 5</t>
  </si>
  <si>
    <t xml:space="preserve"> MES 6</t>
  </si>
  <si>
    <t xml:space="preserve"> MES 7</t>
  </si>
  <si>
    <t xml:space="preserve"> MES 8</t>
  </si>
  <si>
    <t xml:space="preserve"> MES 9</t>
  </si>
  <si>
    <t xml:space="preserve"> MES 10</t>
  </si>
  <si>
    <t xml:space="preserve"> MES 11</t>
  </si>
  <si>
    <t xml:space="preserve"> MES 12</t>
  </si>
  <si>
    <t>AÑO 1</t>
  </si>
  <si>
    <t>AÑO 2</t>
  </si>
  <si>
    <t>AÑO 3</t>
  </si>
  <si>
    <t>AÑO 4</t>
  </si>
  <si>
    <t>AÑO 5</t>
  </si>
  <si>
    <t>VENTAS</t>
  </si>
  <si>
    <t>Prestamo gubernamental</t>
  </si>
  <si>
    <t>Pestamo bancario</t>
  </si>
  <si>
    <t>Aportación de socios</t>
  </si>
  <si>
    <t>Otras entradas (Pagos, donaciones, aportaciones, etc.)</t>
  </si>
  <si>
    <t>TOTAL DE ENTRADAS</t>
  </si>
  <si>
    <t>SALIDAS</t>
  </si>
  <si>
    <t>MES 0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</si>
  <si>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</si>
  <si>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</si>
  <si>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</si>
  <si>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</si>
  <si>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</si>
  <si>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</si>
  <si>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</si>
  <si>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</si>
  <si>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</si>
  <si>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</si>
  <si>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</si>
  <si>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</si>
  <si>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Costos</t>
  </si>
  <si>
    <t>Inversion inicial total (gastos)</t>
  </si>
  <si>
    <t>Inversion</t>
  </si>
  <si>
    <t>Columna1</t>
  </si>
  <si>
    <t>Columna3</t>
  </si>
  <si>
    <t>VAN</t>
  </si>
  <si>
    <t>Pago de prestamo</t>
  </si>
  <si>
    <t>Inversión Inicial</t>
  </si>
  <si>
    <t>Interes de prestamo</t>
  </si>
  <si>
    <t>Flujo de Efectivo Neto A1</t>
  </si>
  <si>
    <t>TIR</t>
  </si>
  <si>
    <t>TOTAL DE SALIDAS SIN IMPUESTO</t>
  </si>
  <si>
    <t>Flujo de Efectivo Neto A2</t>
  </si>
  <si>
    <t>Impuestos ISR+PTU</t>
  </si>
  <si>
    <t>Flujo de Efectivo Neto A3</t>
  </si>
  <si>
    <t>TOTAL DE SALIDAS</t>
  </si>
  <si>
    <t>Flujo de Efectivo Neto A4</t>
  </si>
  <si>
    <t>FLUJO NETO DE EFECTIVO</t>
  </si>
  <si>
    <t>Flujo de Efectivo Neto A5</t>
  </si>
  <si>
    <t>FLUJO ACUMULADO</t>
  </si>
  <si>
    <t>Tasa de Referencia</t>
  </si>
  <si>
    <t>Datos de las Ventas</t>
  </si>
  <si>
    <t> </t>
  </si>
  <si>
    <t>PRECIO DE VENTA TURISTA</t>
  </si>
  <si>
    <t xml:space="preserve">UNIDADES VENDIDAS POR MES </t>
  </si>
  <si>
    <t>PRECIO DE VENTA ASOCIADO</t>
  </si>
  <si>
    <t>UNIDADES VENDIDAS POR MES</t>
  </si>
  <si>
    <t>Estado de resultados</t>
  </si>
  <si>
    <t>Estado de resultados (anual)</t>
  </si>
  <si>
    <t>Analisis de sensibilidad</t>
  </si>
  <si>
    <t xml:space="preserve"> MESES </t>
  </si>
  <si>
    <t>AÑOS</t>
  </si>
  <si>
    <t>Ventas</t>
  </si>
  <si>
    <t xml:space="preserve"> VENTAS </t>
  </si>
  <si>
    <t>Gastos</t>
  </si>
  <si>
    <t xml:space="preserve"> COSTOS </t>
  </si>
  <si>
    <t>COSTOS</t>
  </si>
  <si>
    <t xml:space="preserve"> UTILIDAD BRUTA </t>
  </si>
  <si>
    <t>UTILIDAD BRUTA</t>
  </si>
  <si>
    <t xml:space="preserve"> GASTOS </t>
  </si>
  <si>
    <t>GASTOS</t>
  </si>
  <si>
    <t xml:space="preserve"> Pago de interes </t>
  </si>
  <si>
    <t>Pago de interes</t>
  </si>
  <si>
    <t xml:space="preserve"> Amortización </t>
  </si>
  <si>
    <t>Amortización</t>
  </si>
  <si>
    <t xml:space="preserve"> Depreciación </t>
  </si>
  <si>
    <t>Depreciación</t>
  </si>
  <si>
    <t xml:space="preserve"> PERDIDA O UTILIDAD ANTES DE IMPUESTOS </t>
  </si>
  <si>
    <t>PERDIDA O UTILIDAD ANTES DE IMPUESTOS</t>
  </si>
  <si>
    <t>IMPUESTOS</t>
  </si>
  <si>
    <t>ISR</t>
  </si>
  <si>
    <t>PTU</t>
  </si>
  <si>
    <t>TOTAL DE IMPUESTOS</t>
  </si>
  <si>
    <t>PERDIDA O UTILIDAD NETA</t>
  </si>
  <si>
    <t>Organigrama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</si>
</sst>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.000_-;\-* #,##0.000_-;_-* &quot;-&quot;???_-;_-@_-"/>
    <numFmt numFmtId="165" formatCode="&quot;$&quot;#,##0.00"/>
    <numFmt numFmtId="166" formatCode="_-[$$-80A]* #,##0.00_-;\-[$$-80A]* #,##0.00_-;_-[$$-80A]* &quot;-&quot;??_-;_-@_-"/>
  </numFmts>
  <fonts count="4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 Nova Cond"/>
      <family val="2"/>
    </font>
    <font>
      <sz val="11"/>
      <color theme="1"/>
      <name val="Arial Nova Cond"/>
      <family val="2"/>
    </font>
    <font>
      <sz val="11"/>
      <color rgb="FFFF0000"/>
      <name val="Arial Nova Cond"/>
      <family val="2"/>
    </font>
    <font>
      <b/>
      <sz val="14"/>
      <color rgb="FFFFFFFF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Palatino Linotype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rgb="FFC00000"/>
      <name val="Arial"/>
      <family val="2"/>
    </font>
    <font>
      <sz val="11"/>
      <color theme="0"/>
      <name val="Arial"/>
      <family val="2"/>
    </font>
    <font>
      <sz val="14"/>
      <color theme="0"/>
      <name val="Arial"/>
      <family val="2"/>
    </font>
    <font>
      <sz val="12"/>
      <color theme="0"/>
      <name val="Calibri"/>
      <family val="2"/>
      <scheme val="minor"/>
    </font>
    <font>
      <sz val="12"/>
      <color rgb="FF242424"/>
      <name val="Arial"/>
      <family val="2"/>
    </font>
    <font>
      <b/>
      <sz val="16"/>
      <color theme="1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b/>
      <i/>
      <sz val="18"/>
      <color rgb="FF000000"/>
      <name val="Times New Roman"/>
      <family val="1"/>
    </font>
    <font>
      <b/>
      <i/>
      <sz val="18"/>
      <color theme="1"/>
      <name val="Times New Roman"/>
      <family val="1"/>
    </font>
    <font>
      <sz val="14"/>
      <color theme="0"/>
      <name val="Arial"/>
    </font>
    <font>
      <b/>
      <sz val="12"/>
      <color rgb="FF000000"/>
      <name val="Arial"/>
      <family val="2"/>
    </font>
    <font>
      <b/>
      <i/>
      <sz val="16"/>
      <color theme="0"/>
      <name val="Times New Roman"/>
    </font>
    <font>
      <b/>
      <i/>
      <sz val="14"/>
      <color rgb="FFFFFFFF"/>
      <name val="Times New Roman"/>
    </font>
    <font>
      <b/>
      <sz val="14"/>
      <color theme="0"/>
      <name val="Times New Roman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FFC000"/>
        <bgColor rgb="FF000000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9BC2E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/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/>
      <diagonal/>
    </border>
    <border>
      <left style="medium">
        <color rgb="FFC9C9C9"/>
      </left>
      <right/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FFD966"/>
      </left>
      <right style="medium">
        <color rgb="FFFFD966"/>
      </right>
      <top style="medium">
        <color rgb="FFFFD966"/>
      </top>
      <bottom style="medium">
        <color rgb="FFFFD966"/>
      </bottom>
      <diagonal/>
    </border>
    <border>
      <left style="medium">
        <color rgb="FFFFD966"/>
      </left>
      <right style="medium">
        <color rgb="FFFFD966"/>
      </right>
      <top/>
      <bottom style="medium">
        <color rgb="FFFFD966"/>
      </bottom>
      <diagonal/>
    </border>
    <border>
      <left style="medium">
        <color rgb="FFFFD966"/>
      </left>
      <right/>
      <top/>
      <bottom style="medium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  <border>
      <left style="medium">
        <color rgb="FFFFD966"/>
      </left>
      <right style="thin">
        <color rgb="FF000000"/>
      </right>
      <top style="medium">
        <color rgb="FFFFD966"/>
      </top>
      <bottom style="medium">
        <color rgb="FFFFD966"/>
      </bottom>
      <diagonal/>
    </border>
    <border>
      <left/>
      <right style="thin">
        <color rgb="FF000000"/>
      </right>
      <top style="medium">
        <color rgb="FFFFD966"/>
      </top>
      <bottom/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 style="thin">
        <color rgb="FF000000"/>
      </left>
      <right/>
      <top/>
      <bottom/>
      <diagonal/>
    </border>
    <border>
      <left style="medium">
        <color rgb="FFFFD966"/>
      </left>
      <right/>
      <top style="medium">
        <color rgb="FFFFD966"/>
      </top>
      <bottom style="medium">
        <color rgb="FFFFD966"/>
      </bottom>
      <diagonal/>
    </border>
    <border>
      <left/>
      <right style="medium">
        <color rgb="FFFFD966"/>
      </right>
      <top style="medium">
        <color rgb="FFFFD966"/>
      </top>
      <bottom style="medium">
        <color rgb="FFFFD966"/>
      </bottom>
      <diagonal/>
    </border>
    <border>
      <left style="medium">
        <color rgb="FFFFD966"/>
      </left>
      <right style="thin">
        <color rgb="FF000000"/>
      </right>
      <top/>
      <bottom style="medium">
        <color rgb="FFFFD966"/>
      </bottom>
      <diagonal/>
    </border>
    <border>
      <left/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9BC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9BC2E6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9BC2E6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9BC2E6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auto="1"/>
      </top>
      <bottom style="double">
        <color indexed="64"/>
      </bottom>
      <diagonal/>
    </border>
    <border>
      <left/>
      <right style="thin">
        <color rgb="FF000000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9BC2E6"/>
      </top>
      <bottom/>
      <diagonal/>
    </border>
    <border>
      <left style="thin">
        <color indexed="64"/>
      </left>
      <right style="thin">
        <color indexed="64"/>
      </right>
      <top style="thin">
        <color rgb="FF9BC2E6"/>
      </top>
      <bottom/>
      <diagonal/>
    </border>
    <border>
      <left style="thin">
        <color indexed="64"/>
      </left>
      <right/>
      <top style="thin">
        <color rgb="FF9BC2E6"/>
      </top>
      <bottom/>
      <diagonal/>
    </border>
    <border>
      <left style="thin">
        <color indexed="64"/>
      </left>
      <right style="medium">
        <color indexed="64"/>
      </right>
      <top style="thin">
        <color rgb="FF9BC2E6"/>
      </top>
      <bottom/>
      <diagonal/>
    </border>
  </borders>
  <cellStyleXfs count="4">
    <xf numFmtId="0" fontId="0" fillId="0" borderId="0"/>
    <xf numFmtId="4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</cellStyleXfs>
  <cellXfs count="332">
    <xf numFmtId="0" fontId="0" fillId="0" borderId="0" xfId="0"/>
    <xf numFmtId="0" fontId="3" fillId="4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0" xfId="0" applyFont="1"/>
    <xf numFmtId="0" fontId="3" fillId="5" borderId="1" xfId="0" applyFont="1" applyFill="1" applyBorder="1"/>
    <xf numFmtId="0" fontId="4" fillId="0" borderId="0" xfId="0" applyFont="1" applyAlignment="1">
      <alignment horizontal="center"/>
    </xf>
    <xf numFmtId="0" fontId="3" fillId="6" borderId="1" xfId="0" applyFont="1" applyFill="1" applyBorder="1"/>
    <xf numFmtId="0" fontId="3" fillId="3" borderId="1" xfId="0" applyFont="1" applyFill="1" applyBorder="1"/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/>
    </xf>
    <xf numFmtId="0" fontId="8" fillId="8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10" borderId="8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7" fillId="8" borderId="14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8" fillId="8" borderId="4" xfId="0" applyFont="1" applyFill="1" applyBorder="1" applyAlignment="1">
      <alignment horizontal="left" vertical="center" wrapText="1"/>
    </xf>
    <xf numFmtId="0" fontId="8" fillId="8" borderId="6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8" fillId="10" borderId="17" xfId="0" applyFont="1" applyFill="1" applyBorder="1" applyAlignment="1">
      <alignment horizontal="center" vertical="center" wrapText="1"/>
    </xf>
    <xf numFmtId="0" fontId="7" fillId="10" borderId="18" xfId="0" applyFont="1" applyFill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10" borderId="11" xfId="0" applyFont="1" applyFill="1" applyBorder="1" applyAlignment="1">
      <alignment horizontal="left" vertical="center" wrapText="1"/>
    </xf>
    <xf numFmtId="0" fontId="7" fillId="10" borderId="9" xfId="0" applyFont="1" applyFill="1" applyBorder="1" applyAlignment="1">
      <alignment horizontal="left" vertical="center" wrapText="1"/>
    </xf>
    <xf numFmtId="0" fontId="7" fillId="10" borderId="10" xfId="0" applyFont="1" applyFill="1" applyBorder="1" applyAlignment="1">
      <alignment horizontal="left" vertical="center" wrapText="1"/>
    </xf>
    <xf numFmtId="0" fontId="7" fillId="10" borderId="19" xfId="0" applyFont="1" applyFill="1" applyBorder="1" applyAlignment="1">
      <alignment horizontal="left" vertical="center" wrapText="1"/>
    </xf>
    <xf numFmtId="0" fontId="7" fillId="11" borderId="13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12" borderId="0" xfId="0" applyFont="1" applyFill="1"/>
    <xf numFmtId="0" fontId="11" fillId="12" borderId="0" xfId="0" applyFont="1" applyFill="1" applyAlignment="1">
      <alignment horizontal="center" vertical="center"/>
    </xf>
    <xf numFmtId="0" fontId="11" fillId="13" borderId="0" xfId="0" applyFont="1" applyFill="1"/>
    <xf numFmtId="0" fontId="11" fillId="13" borderId="0" xfId="0" applyFont="1" applyFill="1" applyAlignment="1">
      <alignment vertical="center"/>
    </xf>
    <xf numFmtId="0" fontId="11" fillId="13" borderId="0" xfId="0" applyFont="1" applyFill="1" applyAlignment="1">
      <alignment horizontal="center" vertical="center"/>
    </xf>
    <xf numFmtId="0" fontId="0" fillId="13" borderId="0" xfId="0" applyFill="1"/>
    <xf numFmtId="0" fontId="2" fillId="13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 wrapText="1"/>
    </xf>
    <xf numFmtId="0" fontId="8" fillId="11" borderId="0" xfId="0" applyFont="1" applyFill="1" applyAlignment="1">
      <alignment horizontal="center" vertical="center" wrapText="1"/>
    </xf>
    <xf numFmtId="0" fontId="8" fillId="11" borderId="20" xfId="0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wrapText="1"/>
    </xf>
    <xf numFmtId="3" fontId="0" fillId="0" borderId="0" xfId="0" applyNumberFormat="1"/>
    <xf numFmtId="43" fontId="0" fillId="0" borderId="0" xfId="0" applyNumberFormat="1"/>
    <xf numFmtId="0" fontId="1" fillId="0" borderId="0" xfId="0" applyFont="1"/>
    <xf numFmtId="0" fontId="2" fillId="15" borderId="0" xfId="0" applyFont="1" applyFill="1" applyAlignment="1">
      <alignment horizontal="right"/>
    </xf>
    <xf numFmtId="43" fontId="0" fillId="15" borderId="0" xfId="0" applyNumberFormat="1" applyFill="1"/>
    <xf numFmtId="164" fontId="0" fillId="0" borderId="0" xfId="0" applyNumberFormat="1"/>
    <xf numFmtId="0" fontId="1" fillId="11" borderId="0" xfId="0" applyFont="1" applyFill="1"/>
    <xf numFmtId="0" fontId="0" fillId="11" borderId="0" xfId="0" applyFill="1"/>
    <xf numFmtId="3" fontId="1" fillId="17" borderId="0" xfId="0" applyNumberFormat="1" applyFont="1" applyFill="1"/>
    <xf numFmtId="0" fontId="0" fillId="0" borderId="23" xfId="0" applyBorder="1"/>
    <xf numFmtId="0" fontId="17" fillId="0" borderId="24" xfId="0" applyFont="1" applyBorder="1" applyAlignment="1">
      <alignment horizontal="center"/>
    </xf>
    <xf numFmtId="0" fontId="17" fillId="0" borderId="24" xfId="0" applyFont="1" applyBorder="1" applyAlignment="1">
      <alignment wrapText="1"/>
    </xf>
    <xf numFmtId="0" fontId="18" fillId="0" borderId="24" xfId="0" applyFont="1" applyBorder="1" applyAlignment="1">
      <alignment horizontal="right"/>
    </xf>
    <xf numFmtId="0" fontId="17" fillId="0" borderId="24" xfId="0" applyFont="1" applyBorder="1"/>
    <xf numFmtId="0" fontId="17" fillId="0" borderId="24" xfId="0" applyFont="1" applyBorder="1" applyAlignment="1">
      <alignment horizontal="right"/>
    </xf>
    <xf numFmtId="0" fontId="2" fillId="18" borderId="0" xfId="0" applyFont="1" applyFill="1"/>
    <xf numFmtId="0" fontId="12" fillId="0" borderId="0" xfId="0" applyFont="1"/>
    <xf numFmtId="0" fontId="0" fillId="17" borderId="0" xfId="0" applyFill="1"/>
    <xf numFmtId="0" fontId="3" fillId="17" borderId="0" xfId="0" applyFont="1" applyFill="1" applyAlignment="1">
      <alignment horizontal="center"/>
    </xf>
    <xf numFmtId="0" fontId="3" fillId="17" borderId="0" xfId="0" applyFont="1" applyFill="1"/>
    <xf numFmtId="0" fontId="4" fillId="17" borderId="0" xfId="0" applyFont="1" applyFill="1" applyAlignment="1">
      <alignment horizontal="left"/>
    </xf>
    <xf numFmtId="0" fontId="5" fillId="17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0" fillId="17" borderId="0" xfId="0" applyFill="1" applyAlignment="1">
      <alignment horizontal="left"/>
    </xf>
    <xf numFmtId="0" fontId="19" fillId="0" borderId="0" xfId="0" applyFont="1"/>
    <xf numFmtId="0" fontId="16" fillId="0" borderId="0" xfId="0" applyFont="1" applyAlignment="1">
      <alignment horizontal="center"/>
    </xf>
    <xf numFmtId="0" fontId="16" fillId="4" borderId="1" xfId="0" applyFont="1" applyFill="1" applyBorder="1"/>
    <xf numFmtId="0" fontId="17" fillId="0" borderId="1" xfId="0" applyFont="1" applyBorder="1"/>
    <xf numFmtId="6" fontId="17" fillId="0" borderId="1" xfId="0" applyNumberFormat="1" applyFont="1" applyBorder="1"/>
    <xf numFmtId="0" fontId="11" fillId="11" borderId="1" xfId="0" applyFont="1" applyFill="1" applyBorder="1" applyAlignment="1">
      <alignment wrapText="1"/>
    </xf>
    <xf numFmtId="0" fontId="10" fillId="0" borderId="0" xfId="0" applyFont="1" applyAlignment="1">
      <alignment wrapText="1"/>
    </xf>
    <xf numFmtId="165" fontId="17" fillId="0" borderId="1" xfId="0" applyNumberFormat="1" applyFont="1" applyBorder="1"/>
    <xf numFmtId="165" fontId="0" fillId="0" borderId="0" xfId="0" applyNumberFormat="1"/>
    <xf numFmtId="0" fontId="14" fillId="0" borderId="1" xfId="0" applyFont="1" applyBorder="1"/>
    <xf numFmtId="165" fontId="14" fillId="0" borderId="1" xfId="0" applyNumberFormat="1" applyFont="1" applyBorder="1"/>
    <xf numFmtId="165" fontId="22" fillId="20" borderId="1" xfId="0" applyNumberFormat="1" applyFont="1" applyFill="1" applyBorder="1"/>
    <xf numFmtId="6" fontId="22" fillId="20" borderId="27" xfId="0" applyNumberFormat="1" applyFont="1" applyFill="1" applyBorder="1"/>
    <xf numFmtId="165" fontId="22" fillId="20" borderId="27" xfId="0" applyNumberFormat="1" applyFont="1" applyFill="1" applyBorder="1"/>
    <xf numFmtId="3" fontId="14" fillId="15" borderId="29" xfId="0" applyNumberFormat="1" applyFont="1" applyFill="1" applyBorder="1"/>
    <xf numFmtId="0" fontId="14" fillId="15" borderId="1" xfId="0" applyFont="1" applyFill="1" applyBorder="1"/>
    <xf numFmtId="165" fontId="14" fillId="15" borderId="1" xfId="0" applyNumberFormat="1" applyFont="1" applyFill="1" applyBorder="1"/>
    <xf numFmtId="165" fontId="23" fillId="20" borderId="0" xfId="0" applyNumberFormat="1" applyFont="1" applyFill="1"/>
    <xf numFmtId="6" fontId="24" fillId="20" borderId="1" xfId="0" applyNumberFormat="1" applyFont="1" applyFill="1" applyBorder="1"/>
    <xf numFmtId="0" fontId="25" fillId="0" borderId="0" xfId="0" applyFont="1"/>
    <xf numFmtId="0" fontId="17" fillId="21" borderId="1" xfId="0" applyFont="1" applyFill="1" applyBorder="1"/>
    <xf numFmtId="0" fontId="10" fillId="21" borderId="1" xfId="0" applyFont="1" applyFill="1" applyBorder="1"/>
    <xf numFmtId="166" fontId="10" fillId="21" borderId="1" xfId="0" applyNumberFormat="1" applyFont="1" applyFill="1" applyBorder="1"/>
    <xf numFmtId="9" fontId="10" fillId="21" borderId="1" xfId="0" applyNumberFormat="1" applyFont="1" applyFill="1" applyBorder="1"/>
    <xf numFmtId="0" fontId="17" fillId="22" borderId="1" xfId="0" applyFont="1" applyFill="1" applyBorder="1"/>
    <xf numFmtId="0" fontId="10" fillId="22" borderId="1" xfId="0" applyFont="1" applyFill="1" applyBorder="1"/>
    <xf numFmtId="166" fontId="17" fillId="22" borderId="1" xfId="0" applyNumberFormat="1" applyFont="1" applyFill="1" applyBorder="1"/>
    <xf numFmtId="166" fontId="10" fillId="22" borderId="1" xfId="0" applyNumberFormat="1" applyFont="1" applyFill="1" applyBorder="1"/>
    <xf numFmtId="9" fontId="10" fillId="22" borderId="1" xfId="0" applyNumberFormat="1" applyFont="1" applyFill="1" applyBorder="1"/>
    <xf numFmtId="0" fontId="27" fillId="23" borderId="21" xfId="0" applyFont="1" applyFill="1" applyBorder="1" applyAlignment="1">
      <alignment vertical="center" wrapText="1"/>
    </xf>
    <xf numFmtId="0" fontId="27" fillId="23" borderId="30" xfId="0" applyFont="1" applyFill="1" applyBorder="1" applyAlignment="1">
      <alignment vertical="center" wrapText="1"/>
    </xf>
    <xf numFmtId="0" fontId="27" fillId="23" borderId="21" xfId="0" applyFont="1" applyFill="1" applyBorder="1" applyAlignment="1">
      <alignment vertical="center"/>
    </xf>
    <xf numFmtId="0" fontId="29" fillId="0" borderId="0" xfId="0" applyFont="1"/>
    <xf numFmtId="0" fontId="30" fillId="28" borderId="31" xfId="0" applyFont="1" applyFill="1" applyBorder="1" applyAlignment="1">
      <alignment wrapText="1"/>
    </xf>
    <xf numFmtId="0" fontId="30" fillId="28" borderId="32" xfId="0" applyFont="1" applyFill="1" applyBorder="1" applyAlignment="1">
      <alignment wrapText="1"/>
    </xf>
    <xf numFmtId="0" fontId="30" fillId="28" borderId="33" xfId="0" applyFont="1" applyFill="1" applyBorder="1" applyAlignment="1">
      <alignment wrapText="1"/>
    </xf>
    <xf numFmtId="0" fontId="30" fillId="28" borderId="34" xfId="0" applyFont="1" applyFill="1" applyBorder="1" applyAlignment="1">
      <alignment wrapText="1"/>
    </xf>
    <xf numFmtId="0" fontId="29" fillId="29" borderId="40" xfId="0" applyFont="1" applyFill="1" applyBorder="1" applyAlignment="1">
      <alignment wrapText="1"/>
    </xf>
    <xf numFmtId="0" fontId="29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29" fillId="32" borderId="0" xfId="0" applyFont="1" applyFill="1"/>
    <xf numFmtId="0" fontId="33" fillId="32" borderId="0" xfId="0" applyFont="1" applyFill="1"/>
    <xf numFmtId="0" fontId="33" fillId="0" borderId="35" xfId="0" applyFont="1" applyBorder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4" fontId="34" fillId="32" borderId="27" xfId="1" applyFont="1" applyFill="1" applyBorder="1"/>
    <xf numFmtId="44" fontId="34" fillId="32" borderId="44" xfId="1" applyFont="1" applyFill="1" applyBorder="1"/>
    <xf numFmtId="0" fontId="33" fillId="0" borderId="48" xfId="0" applyFont="1" applyBorder="1"/>
    <xf numFmtId="0" fontId="33" fillId="0" borderId="63" xfId="0" applyFont="1" applyBorder="1" applyAlignment="1">
      <alignment wrapText="1"/>
    </xf>
    <xf numFmtId="0" fontId="33" fillId="0" borderId="48" xfId="0" applyFont="1" applyBorder="1" applyAlignment="1">
      <alignment wrapText="1"/>
    </xf>
    <xf numFmtId="0" fontId="33" fillId="0" borderId="50" xfId="0" applyFont="1" applyBorder="1"/>
    <xf numFmtId="0" fontId="33" fillId="0" borderId="64" xfId="0" applyFont="1" applyBorder="1" applyAlignment="1">
      <alignment wrapText="1"/>
    </xf>
    <xf numFmtId="0" fontId="33" fillId="0" borderId="55" xfId="0" applyFont="1" applyBorder="1" applyAlignment="1">
      <alignment wrapText="1"/>
    </xf>
    <xf numFmtId="165" fontId="29" fillId="0" borderId="1" xfId="1" applyNumberFormat="1" applyFont="1" applyBorder="1" applyAlignment="1">
      <alignment wrapText="1"/>
    </xf>
    <xf numFmtId="165" fontId="29" fillId="0" borderId="38" xfId="1" applyNumberFormat="1" applyFont="1" applyBorder="1" applyAlignment="1">
      <alignment wrapText="1"/>
    </xf>
    <xf numFmtId="165" fontId="29" fillId="0" borderId="39" xfId="1" applyNumberFormat="1" applyFont="1" applyBorder="1" applyAlignment="1">
      <alignment wrapText="1"/>
    </xf>
    <xf numFmtId="165" fontId="29" fillId="29" borderId="41" xfId="1" applyNumberFormat="1" applyFont="1" applyFill="1" applyBorder="1" applyAlignment="1">
      <alignment wrapText="1"/>
    </xf>
    <xf numFmtId="165" fontId="29" fillId="29" borderId="42" xfId="1" applyNumberFormat="1" applyFont="1" applyFill="1" applyBorder="1" applyAlignment="1">
      <alignment wrapText="1"/>
    </xf>
    <xf numFmtId="165" fontId="29" fillId="0" borderId="0" xfId="1" applyNumberFormat="1" applyFont="1" applyBorder="1"/>
    <xf numFmtId="165" fontId="29" fillId="0" borderId="52" xfId="1" applyNumberFormat="1" applyFont="1" applyBorder="1"/>
    <xf numFmtId="165" fontId="29" fillId="0" borderId="45" xfId="1" applyNumberFormat="1" applyFont="1" applyBorder="1"/>
    <xf numFmtId="165" fontId="29" fillId="0" borderId="49" xfId="1" applyNumberFormat="1" applyFont="1" applyBorder="1"/>
    <xf numFmtId="165" fontId="29" fillId="0" borderId="53" xfId="1" applyNumberFormat="1" applyFont="1" applyBorder="1"/>
    <xf numFmtId="165" fontId="29" fillId="0" borderId="54" xfId="1" applyNumberFormat="1" applyFont="1" applyBorder="1"/>
    <xf numFmtId="165" fontId="29" fillId="0" borderId="56" xfId="1" applyNumberFormat="1" applyFont="1" applyBorder="1"/>
    <xf numFmtId="165" fontId="29" fillId="0" borderId="57" xfId="1" applyNumberFormat="1" applyFont="1" applyBorder="1"/>
    <xf numFmtId="165" fontId="0" fillId="0" borderId="0" xfId="1" applyNumberFormat="1" applyFont="1" applyBorder="1" applyAlignment="1">
      <alignment wrapText="1"/>
    </xf>
    <xf numFmtId="165" fontId="0" fillId="0" borderId="43" xfId="1" applyNumberFormat="1" applyFont="1" applyBorder="1" applyAlignment="1">
      <alignment wrapText="1"/>
    </xf>
    <xf numFmtId="165" fontId="0" fillId="0" borderId="45" xfId="1" applyNumberFormat="1" applyFont="1" applyBorder="1" applyAlignment="1">
      <alignment wrapText="1"/>
    </xf>
    <xf numFmtId="165" fontId="0" fillId="0" borderId="53" xfId="1" applyNumberFormat="1" applyFont="1" applyBorder="1" applyAlignment="1">
      <alignment wrapText="1"/>
    </xf>
    <xf numFmtId="0" fontId="30" fillId="25" borderId="21" xfId="0" applyFont="1" applyFill="1" applyBorder="1"/>
    <xf numFmtId="0" fontId="30" fillId="25" borderId="21" xfId="0" applyFont="1" applyFill="1" applyBorder="1" applyAlignment="1">
      <alignment wrapText="1"/>
    </xf>
    <xf numFmtId="44" fontId="29" fillId="26" borderId="21" xfId="1" applyFont="1" applyFill="1" applyBorder="1"/>
    <xf numFmtId="165" fontId="10" fillId="0" borderId="0" xfId="0" applyNumberFormat="1" applyFont="1"/>
    <xf numFmtId="8" fontId="14" fillId="0" borderId="1" xfId="0" applyNumberFormat="1" applyFont="1" applyBorder="1"/>
    <xf numFmtId="165" fontId="0" fillId="0" borderId="0" xfId="0" applyNumberFormat="1" applyAlignment="1">
      <alignment horizontal="center" vertical="center"/>
    </xf>
    <xf numFmtId="8" fontId="0" fillId="0" borderId="0" xfId="0" applyNumberFormat="1"/>
    <xf numFmtId="165" fontId="2" fillId="18" borderId="0" xfId="0" applyNumberFormat="1" applyFont="1" applyFill="1"/>
    <xf numFmtId="0" fontId="0" fillId="0" borderId="1" xfId="0" applyBorder="1"/>
    <xf numFmtId="9" fontId="0" fillId="0" borderId="1" xfId="3" applyFont="1" applyBorder="1"/>
    <xf numFmtId="0" fontId="27" fillId="23" borderId="22" xfId="0" applyFont="1" applyFill="1" applyBorder="1" applyAlignment="1">
      <alignment vertical="center" wrapText="1"/>
    </xf>
    <xf numFmtId="8" fontId="23" fillId="20" borderId="28" xfId="0" applyNumberFormat="1" applyFont="1" applyFill="1" applyBorder="1"/>
    <xf numFmtId="0" fontId="15" fillId="12" borderId="1" xfId="0" applyFont="1" applyFill="1" applyBorder="1"/>
    <xf numFmtId="0" fontId="38" fillId="37" borderId="0" xfId="0" applyFont="1" applyFill="1"/>
    <xf numFmtId="0" fontId="29" fillId="26" borderId="1" xfId="0" applyFont="1" applyFill="1" applyBorder="1"/>
    <xf numFmtId="0" fontId="0" fillId="14" borderId="1" xfId="0" applyFill="1" applyBorder="1"/>
    <xf numFmtId="165" fontId="29" fillId="26" borderId="65" xfId="0" applyNumberFormat="1" applyFont="1" applyFill="1" applyBorder="1"/>
    <xf numFmtId="165" fontId="29" fillId="26" borderId="1" xfId="1" applyNumberFormat="1" applyFont="1" applyFill="1" applyBorder="1"/>
    <xf numFmtId="44" fontId="29" fillId="14" borderId="1" xfId="0" applyNumberFormat="1" applyFont="1" applyFill="1" applyBorder="1"/>
    <xf numFmtId="10" fontId="29" fillId="26" borderId="30" xfId="0" applyNumberFormat="1" applyFont="1" applyFill="1" applyBorder="1"/>
    <xf numFmtId="10" fontId="29" fillId="26" borderId="21" xfId="0" applyNumberFormat="1" applyFont="1" applyFill="1" applyBorder="1"/>
    <xf numFmtId="0" fontId="29" fillId="26" borderId="21" xfId="0" applyFont="1" applyFill="1" applyBorder="1"/>
    <xf numFmtId="165" fontId="29" fillId="26" borderId="21" xfId="1" applyNumberFormat="1" applyFont="1" applyFill="1" applyBorder="1"/>
    <xf numFmtId="0" fontId="0" fillId="0" borderId="21" xfId="0" applyBorder="1" applyAlignment="1">
      <alignment horizontal="center"/>
    </xf>
    <xf numFmtId="8" fontId="0" fillId="0" borderId="21" xfId="0" applyNumberFormat="1" applyBorder="1" applyAlignment="1">
      <alignment horizontal="center" vertical="center"/>
    </xf>
    <xf numFmtId="0" fontId="38" fillId="20" borderId="21" xfId="0" applyFont="1" applyFill="1" applyBorder="1" applyAlignment="1">
      <alignment horizontal="center" vertical="center"/>
    </xf>
    <xf numFmtId="9" fontId="0" fillId="0" borderId="21" xfId="0" applyNumberFormat="1" applyBorder="1" applyAlignment="1">
      <alignment horizontal="center" vertical="center"/>
    </xf>
    <xf numFmtId="0" fontId="17" fillId="2" borderId="1" xfId="0" applyFont="1" applyFill="1" applyBorder="1"/>
    <xf numFmtId="165" fontId="17" fillId="2" borderId="1" xfId="0" applyNumberFormat="1" applyFont="1" applyFill="1" applyBorder="1"/>
    <xf numFmtId="0" fontId="38" fillId="37" borderId="21" xfId="0" applyFont="1" applyFill="1" applyBorder="1" applyAlignment="1">
      <alignment horizontal="center" vertical="center"/>
    </xf>
    <xf numFmtId="165" fontId="0" fillId="14" borderId="21" xfId="0" applyNumberFormat="1" applyFill="1" applyBorder="1" applyAlignment="1">
      <alignment horizontal="center"/>
    </xf>
    <xf numFmtId="43" fontId="29" fillId="0" borderId="0" xfId="0" applyNumberFormat="1" applyFont="1"/>
    <xf numFmtId="165" fontId="8" fillId="0" borderId="2" xfId="0" applyNumberFormat="1" applyFont="1" applyBorder="1" applyAlignment="1">
      <alignment horizontal="center" vertical="center" wrapText="1"/>
    </xf>
    <xf numFmtId="165" fontId="8" fillId="8" borderId="2" xfId="0" applyNumberFormat="1" applyFont="1" applyFill="1" applyBorder="1" applyAlignment="1">
      <alignment horizontal="center" vertical="center" wrapText="1"/>
    </xf>
    <xf numFmtId="165" fontId="8" fillId="0" borderId="3" xfId="0" applyNumberFormat="1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65" fontId="10" fillId="13" borderId="0" xfId="0" applyNumberFormat="1" applyFont="1" applyFill="1" applyAlignment="1">
      <alignment horizontal="center" vertical="center"/>
    </xf>
    <xf numFmtId="0" fontId="0" fillId="5" borderId="0" xfId="0" applyFill="1"/>
    <xf numFmtId="165" fontId="8" fillId="0" borderId="8" xfId="0" applyNumberFormat="1" applyFont="1" applyBorder="1" applyAlignment="1">
      <alignment horizontal="center" vertical="center" wrapText="1"/>
    </xf>
    <xf numFmtId="165" fontId="8" fillId="10" borderId="8" xfId="0" applyNumberFormat="1" applyFont="1" applyFill="1" applyBorder="1" applyAlignment="1">
      <alignment horizontal="center" vertical="center" wrapText="1"/>
    </xf>
    <xf numFmtId="165" fontId="8" fillId="0" borderId="12" xfId="0" applyNumberFormat="1" applyFont="1" applyBorder="1" applyAlignment="1">
      <alignment horizontal="center" vertical="center" wrapText="1"/>
    </xf>
    <xf numFmtId="165" fontId="10" fillId="11" borderId="0" xfId="0" applyNumberFormat="1" applyFont="1" applyFill="1" applyAlignment="1">
      <alignment horizontal="center" vertical="center"/>
    </xf>
    <xf numFmtId="165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 vertical="center"/>
    </xf>
    <xf numFmtId="165" fontId="11" fillId="12" borderId="0" xfId="0" applyNumberFormat="1" applyFont="1" applyFill="1" applyAlignment="1">
      <alignment horizontal="center" vertical="center"/>
    </xf>
    <xf numFmtId="165" fontId="11" fillId="13" borderId="0" xfId="0" applyNumberFormat="1" applyFont="1" applyFill="1" applyAlignment="1">
      <alignment horizontal="right" vertical="center"/>
    </xf>
    <xf numFmtId="165" fontId="41" fillId="20" borderId="0" xfId="0" applyNumberFormat="1" applyFont="1" applyFill="1"/>
    <xf numFmtId="0" fontId="33" fillId="17" borderId="37" xfId="0" applyFont="1" applyFill="1" applyBorder="1" applyAlignment="1">
      <alignment wrapText="1"/>
    </xf>
    <xf numFmtId="0" fontId="33" fillId="40" borderId="37" xfId="0" applyFont="1" applyFill="1" applyBorder="1" applyAlignment="1">
      <alignment wrapText="1"/>
    </xf>
    <xf numFmtId="0" fontId="33" fillId="40" borderId="35" xfId="0" applyFont="1" applyFill="1" applyBorder="1" applyAlignment="1">
      <alignment wrapText="1"/>
    </xf>
    <xf numFmtId="165" fontId="29" fillId="17" borderId="21" xfId="1" applyNumberFormat="1" applyFont="1" applyFill="1" applyBorder="1"/>
    <xf numFmtId="43" fontId="29" fillId="17" borderId="21" xfId="2" applyFont="1" applyFill="1" applyBorder="1"/>
    <xf numFmtId="0" fontId="33" fillId="41" borderId="21" xfId="0" applyFont="1" applyFill="1" applyBorder="1" applyAlignment="1">
      <alignment wrapText="1"/>
    </xf>
    <xf numFmtId="0" fontId="42" fillId="35" borderId="28" xfId="0" applyFont="1" applyFill="1" applyBorder="1" applyAlignment="1">
      <alignment wrapText="1"/>
    </xf>
    <xf numFmtId="0" fontId="42" fillId="35" borderId="21" xfId="0" applyFont="1" applyFill="1" applyBorder="1" applyAlignment="1">
      <alignment wrapText="1"/>
    </xf>
    <xf numFmtId="0" fontId="33" fillId="41" borderId="70" xfId="0" applyFont="1" applyFill="1" applyBorder="1" applyAlignment="1">
      <alignment horizontal="left" wrapText="1"/>
    </xf>
    <xf numFmtId="165" fontId="29" fillId="17" borderId="70" xfId="1" applyNumberFormat="1" applyFont="1" applyFill="1" applyBorder="1"/>
    <xf numFmtId="0" fontId="45" fillId="33" borderId="62" xfId="0" applyFont="1" applyFill="1" applyBorder="1" applyAlignment="1">
      <alignment horizontal="center" vertical="center"/>
    </xf>
    <xf numFmtId="0" fontId="45" fillId="33" borderId="44" xfId="0" applyFont="1" applyFill="1" applyBorder="1" applyAlignment="1">
      <alignment horizontal="center" vertical="center"/>
    </xf>
    <xf numFmtId="0" fontId="45" fillId="33" borderId="51" xfId="0" applyFont="1" applyFill="1" applyBorder="1" applyAlignment="1">
      <alignment horizontal="center" vertical="center"/>
    </xf>
    <xf numFmtId="0" fontId="45" fillId="36" borderId="21" xfId="0" applyFont="1" applyFill="1" applyBorder="1" applyAlignment="1">
      <alignment horizontal="center" vertical="center" wrapText="1"/>
    </xf>
    <xf numFmtId="0" fontId="30" fillId="25" borderId="70" xfId="0" applyFont="1" applyFill="1" applyBorder="1"/>
    <xf numFmtId="0" fontId="30" fillId="25" borderId="70" xfId="0" applyFont="1" applyFill="1" applyBorder="1" applyAlignment="1">
      <alignment wrapText="1"/>
    </xf>
    <xf numFmtId="0" fontId="30" fillId="25" borderId="71" xfId="0" applyFont="1" applyFill="1" applyBorder="1"/>
    <xf numFmtId="0" fontId="30" fillId="25" borderId="72" xfId="0" applyFont="1" applyFill="1" applyBorder="1"/>
    <xf numFmtId="0" fontId="30" fillId="25" borderId="29" xfId="0" applyFont="1" applyFill="1" applyBorder="1" applyAlignment="1">
      <alignment wrapText="1"/>
    </xf>
    <xf numFmtId="0" fontId="38" fillId="37" borderId="29" xfId="0" applyFont="1" applyFill="1" applyBorder="1" applyAlignment="1">
      <alignment wrapText="1"/>
    </xf>
    <xf numFmtId="0" fontId="39" fillId="17" borderId="0" xfId="0" applyFont="1" applyFill="1" applyAlignment="1">
      <alignment vertical="center"/>
    </xf>
    <xf numFmtId="0" fontId="33" fillId="32" borderId="48" xfId="0" applyFont="1" applyFill="1" applyBorder="1" applyAlignment="1">
      <alignment wrapText="1"/>
    </xf>
    <xf numFmtId="43" fontId="29" fillId="32" borderId="0" xfId="2" applyFont="1" applyFill="1" applyBorder="1"/>
    <xf numFmtId="165" fontId="0" fillId="0" borderId="21" xfId="0" applyNumberFormat="1" applyBorder="1"/>
    <xf numFmtId="0" fontId="33" fillId="0" borderId="73" xfId="0" applyFont="1" applyBorder="1" applyAlignment="1">
      <alignment wrapText="1"/>
    </xf>
    <xf numFmtId="0" fontId="33" fillId="0" borderId="25" xfId="0" applyFont="1" applyBorder="1" applyAlignment="1">
      <alignment wrapText="1"/>
    </xf>
    <xf numFmtId="0" fontId="33" fillId="0" borderId="75" xfId="0" applyFont="1" applyBorder="1" applyAlignment="1">
      <alignment wrapText="1"/>
    </xf>
    <xf numFmtId="0" fontId="29" fillId="0" borderId="76" xfId="0" applyFont="1" applyBorder="1" applyAlignment="1">
      <alignment wrapText="1"/>
    </xf>
    <xf numFmtId="165" fontId="0" fillId="0" borderId="68" xfId="1" applyNumberFormat="1" applyFont="1" applyBorder="1" applyAlignment="1">
      <alignment wrapText="1"/>
    </xf>
    <xf numFmtId="0" fontId="1" fillId="0" borderId="16" xfId="1" applyNumberFormat="1" applyFont="1" applyBorder="1" applyAlignment="1">
      <alignment wrapText="1"/>
    </xf>
    <xf numFmtId="165" fontId="0" fillId="0" borderId="67" xfId="1" applyNumberFormat="1" applyFont="1" applyBorder="1" applyAlignment="1">
      <alignment wrapText="1"/>
    </xf>
    <xf numFmtId="0" fontId="1" fillId="0" borderId="75" xfId="1" applyNumberFormat="1" applyFont="1" applyBorder="1" applyAlignment="1">
      <alignment wrapText="1"/>
    </xf>
    <xf numFmtId="165" fontId="0" fillId="0" borderId="69" xfId="1" applyNumberFormat="1" applyFont="1" applyBorder="1" applyAlignment="1">
      <alignment wrapText="1"/>
    </xf>
    <xf numFmtId="165" fontId="0" fillId="0" borderId="78" xfId="1" applyNumberFormat="1" applyFont="1" applyBorder="1" applyAlignment="1">
      <alignment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67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1" fillId="0" borderId="75" xfId="0" applyFont="1" applyBorder="1" applyAlignment="1">
      <alignment wrapText="1"/>
    </xf>
    <xf numFmtId="0" fontId="1" fillId="0" borderId="79" xfId="0" applyFont="1" applyBorder="1" applyAlignment="1">
      <alignment wrapText="1"/>
    </xf>
    <xf numFmtId="165" fontId="0" fillId="0" borderId="80" xfId="1" applyNumberFormat="1" applyFont="1" applyBorder="1" applyAlignment="1">
      <alignment wrapText="1"/>
    </xf>
    <xf numFmtId="0" fontId="1" fillId="0" borderId="72" xfId="0" applyFont="1" applyBorder="1" applyAlignment="1">
      <alignment wrapText="1"/>
    </xf>
    <xf numFmtId="0" fontId="29" fillId="0" borderId="37" xfId="0" applyFont="1" applyBorder="1" applyAlignment="1">
      <alignment horizontal="left" wrapText="1"/>
    </xf>
    <xf numFmtId="0" fontId="37" fillId="37" borderId="30" xfId="0" applyFont="1" applyFill="1" applyBorder="1" applyAlignment="1">
      <alignment vertical="center" wrapText="1"/>
    </xf>
    <xf numFmtId="0" fontId="37" fillId="37" borderId="65" xfId="0" applyFont="1" applyFill="1" applyBorder="1" applyAlignment="1">
      <alignment horizontal="center" vertical="center" wrapText="1"/>
    </xf>
    <xf numFmtId="0" fontId="33" fillId="0" borderId="76" xfId="0" applyFont="1" applyBorder="1" applyAlignment="1">
      <alignment wrapText="1"/>
    </xf>
    <xf numFmtId="165" fontId="0" fillId="39" borderId="21" xfId="0" applyNumberFormat="1" applyFill="1" applyBorder="1"/>
    <xf numFmtId="0" fontId="29" fillId="39" borderId="77" xfId="0" applyFont="1" applyFill="1" applyBorder="1" applyAlignment="1">
      <alignment wrapText="1"/>
    </xf>
    <xf numFmtId="0" fontId="33" fillId="39" borderId="76" xfId="0" applyFont="1" applyFill="1" applyBorder="1" applyAlignment="1">
      <alignment wrapText="1"/>
    </xf>
    <xf numFmtId="0" fontId="33" fillId="39" borderId="74" xfId="0" applyFont="1" applyFill="1" applyBorder="1" applyAlignment="1">
      <alignment wrapText="1"/>
    </xf>
    <xf numFmtId="0" fontId="30" fillId="37" borderId="75" xfId="0" applyFont="1" applyFill="1" applyBorder="1" applyAlignment="1">
      <alignment vertical="center" wrapText="1"/>
    </xf>
    <xf numFmtId="0" fontId="38" fillId="37" borderId="70" xfId="0" applyFont="1" applyFill="1" applyBorder="1" applyAlignment="1">
      <alignment horizontal="center" vertical="center"/>
    </xf>
    <xf numFmtId="165" fontId="29" fillId="0" borderId="1" xfId="1" applyNumberFormat="1" applyFont="1" applyFill="1" applyBorder="1" applyAlignment="1">
      <alignment wrapText="1"/>
    </xf>
    <xf numFmtId="165" fontId="29" fillId="0" borderId="25" xfId="1" applyNumberFormat="1" applyFont="1" applyFill="1" applyBorder="1" applyAlignment="1">
      <alignment wrapText="1"/>
    </xf>
    <xf numFmtId="165" fontId="29" fillId="0" borderId="36" xfId="1" applyNumberFormat="1" applyFont="1" applyFill="1" applyBorder="1" applyAlignment="1">
      <alignment wrapText="1"/>
    </xf>
    <xf numFmtId="165" fontId="29" fillId="0" borderId="38" xfId="1" applyNumberFormat="1" applyFont="1" applyFill="1" applyBorder="1" applyAlignment="1">
      <alignment wrapText="1"/>
    </xf>
    <xf numFmtId="0" fontId="33" fillId="0" borderId="21" xfId="0" applyFont="1" applyBorder="1" applyAlignment="1">
      <alignment wrapText="1"/>
    </xf>
    <xf numFmtId="165" fontId="29" fillId="0" borderId="21" xfId="1" applyNumberFormat="1" applyFont="1" applyBorder="1" applyAlignment="1">
      <alignment wrapText="1"/>
    </xf>
    <xf numFmtId="165" fontId="29" fillId="0" borderId="21" xfId="1" applyNumberFormat="1" applyFont="1" applyFill="1" applyBorder="1" applyAlignment="1">
      <alignment wrapText="1"/>
    </xf>
    <xf numFmtId="0" fontId="31" fillId="31" borderId="81" xfId="0" applyFont="1" applyFill="1" applyBorder="1" applyAlignment="1">
      <alignment horizontal="center" vertical="center" wrapText="1"/>
    </xf>
    <xf numFmtId="0" fontId="31" fillId="31" borderId="82" xfId="0" applyFont="1" applyFill="1" applyBorder="1" applyAlignment="1">
      <alignment horizontal="center" vertical="center" wrapText="1"/>
    </xf>
    <xf numFmtId="0" fontId="31" fillId="31" borderId="83" xfId="0" applyFont="1" applyFill="1" applyBorder="1" applyAlignment="1">
      <alignment horizontal="center" vertical="center" wrapText="1"/>
    </xf>
    <xf numFmtId="0" fontId="31" fillId="31" borderId="84" xfId="0" applyFont="1" applyFill="1" applyBorder="1" applyAlignment="1">
      <alignment horizontal="center" vertical="center" wrapText="1"/>
    </xf>
    <xf numFmtId="0" fontId="29" fillId="30" borderId="62" xfId="0" applyFont="1" applyFill="1" applyBorder="1" applyAlignment="1">
      <alignment wrapText="1"/>
    </xf>
    <xf numFmtId="165" fontId="29" fillId="30" borderId="29" xfId="1" applyNumberFormat="1" applyFont="1" applyFill="1" applyBorder="1" applyAlignment="1">
      <alignment wrapText="1"/>
    </xf>
    <xf numFmtId="44" fontId="29" fillId="26" borderId="21" xfId="1" applyFont="1" applyFill="1" applyBorder="1" applyAlignment="1">
      <alignment vertical="top"/>
    </xf>
    <xf numFmtId="0" fontId="30" fillId="25" borderId="21" xfId="0" applyFont="1" applyFill="1" applyBorder="1" applyAlignment="1">
      <alignment horizontal="center" vertical="center"/>
    </xf>
    <xf numFmtId="0" fontId="29" fillId="43" borderId="73" xfId="0" applyFont="1" applyFill="1" applyBorder="1" applyAlignment="1">
      <alignment wrapText="1"/>
    </xf>
    <xf numFmtId="165" fontId="0" fillId="0" borderId="0" xfId="0" applyNumberFormat="1" applyAlignment="1">
      <alignment horizontal="right" vertical="center"/>
    </xf>
    <xf numFmtId="10" fontId="0" fillId="0" borderId="21" xfId="2" applyNumberFormat="1" applyFont="1" applyBorder="1"/>
    <xf numFmtId="10" fontId="0" fillId="0" borderId="0" xfId="0" applyNumberFormat="1"/>
    <xf numFmtId="9" fontId="0" fillId="0" borderId="0" xfId="0" applyNumberFormat="1"/>
    <xf numFmtId="0" fontId="33" fillId="30" borderId="37" xfId="0" applyFont="1" applyFill="1" applyBorder="1" applyAlignment="1">
      <alignment wrapText="1"/>
    </xf>
    <xf numFmtId="165" fontId="33" fillId="30" borderId="38" xfId="1" applyNumberFormat="1" applyFont="1" applyFill="1" applyBorder="1" applyAlignment="1">
      <alignment wrapText="1"/>
    </xf>
    <xf numFmtId="0" fontId="33" fillId="30" borderId="35" xfId="0" applyFont="1" applyFill="1" applyBorder="1" applyAlignment="1">
      <alignment wrapText="1"/>
    </xf>
    <xf numFmtId="165" fontId="33" fillId="30" borderId="1" xfId="1" applyNumberFormat="1" applyFont="1" applyFill="1" applyBorder="1" applyAlignment="1">
      <alignment wrapText="1"/>
    </xf>
    <xf numFmtId="165" fontId="33" fillId="30" borderId="36" xfId="1" applyNumberFormat="1" applyFont="1" applyFill="1" applyBorder="1" applyAlignment="1">
      <alignment wrapText="1"/>
    </xf>
    <xf numFmtId="165" fontId="36" fillId="0" borderId="1" xfId="1" applyNumberFormat="1" applyFont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17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9" fillId="2" borderId="0" xfId="0" applyFont="1" applyFill="1" applyAlignment="1">
      <alignment horizontal="center" vertical="center"/>
    </xf>
    <xf numFmtId="0" fontId="6" fillId="7" borderId="16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6" fillId="9" borderId="16" xfId="0" applyFont="1" applyFill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5" fillId="2" borderId="21" xfId="0" applyFont="1" applyFill="1" applyBorder="1" applyAlignment="1">
      <alignment horizontal="center"/>
    </xf>
    <xf numFmtId="0" fontId="16" fillId="16" borderId="22" xfId="0" applyFont="1" applyFill="1" applyBorder="1" applyAlignment="1">
      <alignment horizontal="center"/>
    </xf>
    <xf numFmtId="0" fontId="15" fillId="17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0" fillId="19" borderId="25" xfId="0" applyFont="1" applyFill="1" applyBorder="1" applyAlignment="1">
      <alignment horizontal="center"/>
    </xf>
    <xf numFmtId="0" fontId="10" fillId="19" borderId="26" xfId="0" applyFont="1" applyFill="1" applyBorder="1" applyAlignment="1">
      <alignment horizontal="center"/>
    </xf>
    <xf numFmtId="0" fontId="10" fillId="19" borderId="27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6" fillId="2" borderId="0" xfId="0" applyFont="1" applyFill="1" applyAlignment="1">
      <alignment horizontal="center"/>
    </xf>
    <xf numFmtId="0" fontId="28" fillId="23" borderId="1" xfId="0" applyFont="1" applyFill="1" applyBorder="1" applyAlignment="1">
      <alignment horizontal="center"/>
    </xf>
    <xf numFmtId="0" fontId="20" fillId="5" borderId="25" xfId="0" applyFont="1" applyFill="1" applyBorder="1" applyAlignment="1">
      <alignment horizontal="left"/>
    </xf>
    <xf numFmtId="0" fontId="20" fillId="5" borderId="26" xfId="0" applyFont="1" applyFill="1" applyBorder="1" applyAlignment="1">
      <alignment horizontal="left"/>
    </xf>
    <xf numFmtId="0" fontId="20" fillId="5" borderId="27" xfId="0" applyFont="1" applyFill="1" applyBorder="1" applyAlignment="1">
      <alignment horizontal="left"/>
    </xf>
    <xf numFmtId="0" fontId="16" fillId="4" borderId="28" xfId="0" applyFont="1" applyFill="1" applyBorder="1" applyAlignment="1">
      <alignment horizontal="center"/>
    </xf>
    <xf numFmtId="0" fontId="17" fillId="19" borderId="25" xfId="0" applyFont="1" applyFill="1" applyBorder="1" applyAlignment="1">
      <alignment horizontal="center"/>
    </xf>
    <xf numFmtId="0" fontId="17" fillId="19" borderId="26" xfId="0" applyFont="1" applyFill="1" applyBorder="1" applyAlignment="1">
      <alignment horizontal="center"/>
    </xf>
    <xf numFmtId="0" fontId="40" fillId="38" borderId="30" xfId="0" applyFont="1" applyFill="1" applyBorder="1" applyAlignment="1">
      <alignment horizontal="center"/>
    </xf>
    <xf numFmtId="0" fontId="40" fillId="38" borderId="65" xfId="0" applyFont="1" applyFill="1" applyBorder="1" applyAlignment="1">
      <alignment horizontal="center"/>
    </xf>
    <xf numFmtId="0" fontId="40" fillId="38" borderId="66" xfId="0" applyFont="1" applyFill="1" applyBorder="1" applyAlignment="1">
      <alignment horizontal="center"/>
    </xf>
    <xf numFmtId="0" fontId="39" fillId="27" borderId="30" xfId="0" applyFont="1" applyFill="1" applyBorder="1" applyAlignment="1">
      <alignment horizontal="center" vertical="center"/>
    </xf>
    <xf numFmtId="0" fontId="39" fillId="27" borderId="65" xfId="0" applyFont="1" applyFill="1" applyBorder="1" applyAlignment="1">
      <alignment horizontal="center" vertical="center"/>
    </xf>
    <xf numFmtId="0" fontId="39" fillId="27" borderId="66" xfId="0" applyFont="1" applyFill="1" applyBorder="1" applyAlignment="1">
      <alignment horizontal="center" vertical="center"/>
    </xf>
    <xf numFmtId="0" fontId="44" fillId="24" borderId="21" xfId="0" applyFont="1" applyFill="1" applyBorder="1" applyAlignment="1">
      <alignment horizontal="center" vertical="center"/>
    </xf>
    <xf numFmtId="0" fontId="38" fillId="37" borderId="1" xfId="0" applyFont="1" applyFill="1" applyBorder="1" applyAlignment="1">
      <alignment horizontal="center" vertical="center"/>
    </xf>
    <xf numFmtId="0" fontId="33" fillId="34" borderId="48" xfId="0" applyFont="1" applyFill="1" applyBorder="1" applyAlignment="1">
      <alignment horizontal="center" vertical="center"/>
    </xf>
    <xf numFmtId="0" fontId="33" fillId="34" borderId="0" xfId="0" applyFont="1" applyFill="1" applyAlignment="1">
      <alignment horizontal="center" vertical="center"/>
    </xf>
    <xf numFmtId="0" fontId="33" fillId="34" borderId="52" xfId="0" applyFont="1" applyFill="1" applyBorder="1" applyAlignment="1">
      <alignment horizontal="center" vertical="center"/>
    </xf>
    <xf numFmtId="0" fontId="39" fillId="27" borderId="58" xfId="0" applyFont="1" applyFill="1" applyBorder="1" applyAlignment="1">
      <alignment horizontal="center" vertical="center"/>
    </xf>
    <xf numFmtId="0" fontId="39" fillId="27" borderId="46" xfId="0" applyFont="1" applyFill="1" applyBorder="1" applyAlignment="1">
      <alignment horizontal="center" vertical="center"/>
    </xf>
    <xf numFmtId="0" fontId="39" fillId="27" borderId="47" xfId="0" applyFont="1" applyFill="1" applyBorder="1" applyAlignment="1">
      <alignment horizontal="center" vertical="center"/>
    </xf>
    <xf numFmtId="0" fontId="39" fillId="27" borderId="59" xfId="0" applyFont="1" applyFill="1" applyBorder="1" applyAlignment="1">
      <alignment horizontal="center" vertical="center"/>
    </xf>
    <xf numFmtId="0" fontId="39" fillId="27" borderId="60" xfId="0" applyFont="1" applyFill="1" applyBorder="1" applyAlignment="1">
      <alignment horizontal="center" vertical="center"/>
    </xf>
    <xf numFmtId="0" fontId="39" fillId="27" borderId="61" xfId="0" applyFont="1" applyFill="1" applyBorder="1" applyAlignment="1">
      <alignment horizontal="center" vertical="center"/>
    </xf>
    <xf numFmtId="0" fontId="43" fillId="42" borderId="21" xfId="0" applyFont="1" applyFill="1" applyBorder="1" applyAlignment="1">
      <alignment horizontal="center"/>
    </xf>
    <xf numFmtId="0" fontId="44" fillId="24" borderId="30" xfId="0" applyFont="1" applyFill="1" applyBorder="1" applyAlignment="1">
      <alignment horizontal="center" vertical="center"/>
    </xf>
    <xf numFmtId="0" fontId="44" fillId="24" borderId="65" xfId="0" applyFont="1" applyFill="1" applyBorder="1" applyAlignment="1">
      <alignment horizontal="center" vertical="center"/>
    </xf>
  </cellXfs>
  <cellStyles count="4">
    <cellStyle name="Millares" xfId="2" builtinId="3"/>
    <cellStyle name="Moneda" xfId="1" builtinId="4"/>
    <cellStyle name="Normal" xfId="0" builtinId="0"/>
    <cellStyle name="Porcentaje" xfId="3" builtinId="5"/>
  </cellStyles>
  <dxfs count="29">
    <dxf>
      <numFmt numFmtId="165" formatCode="&quot;$&quot;#,##0.00"/>
    </dxf>
    <dxf>
      <alignment horizontal="center" vertical="bottom" textRotation="0" wrapText="0" indent="0" justifyLastLine="0" shrinkToFit="0" readingOrder="0"/>
    </dxf>
    <dxf>
      <numFmt numFmtId="3" formatCode="#,##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64" formatCode="_-* #,##0.000_-;\-* #,##0.000_-;_-* &quot;-&quot;???_-;_-@_-"/>
    </dxf>
    <dxf>
      <numFmt numFmtId="164" formatCode="_-* #,##0.000_-;\-* #,##0.000_-;_-* &quot;-&quot;???_-;_-@_-"/>
    </dxf>
    <dxf>
      <numFmt numFmtId="35" formatCode="_-* #,##0.00_-;\-* #,##0.00_-;_-* &quot;-&quot;??_-;_-@_-"/>
    </dxf>
    <dxf>
      <numFmt numFmtId="3" formatCode="#,##0"/>
    </dxf>
    <dxf>
      <font>
        <sz val="14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&quot;$&quot;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5" formatCode="&quot;$&quot;#,##0.00"/>
      <alignment horizontal="left" vertical="center" textRotation="0" wrapText="1" indent="0" justifyLastLine="0" shrinkToFit="0" readingOrder="0"/>
      <border diagonalUp="0" diagonalDown="0" outline="0">
        <left style="medium">
          <color rgb="FFFFD966"/>
        </left>
        <right style="thin">
          <color rgb="FF000000"/>
        </right>
        <top style="medium">
          <color rgb="FFFFD966"/>
        </top>
        <bottom style="medium">
          <color rgb="FFFFD966"/>
        </bottom>
      </border>
    </dxf>
    <dxf>
      <border outline="0">
        <bottom style="medium">
          <color rgb="FFFFD966"/>
        </bottom>
      </border>
    </dxf>
    <dxf>
      <border outline="0">
        <left style="thin">
          <color rgb="FF000000"/>
        </left>
        <top style="medium">
          <color rgb="FFFFD96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rgb="FFFFF2CC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FFD966"/>
        </left>
        <right style="medium">
          <color rgb="FFFFD966"/>
        </right>
        <top/>
        <bottom/>
      </border>
    </dxf>
    <dxf>
      <border outline="0">
        <bottom style="medium">
          <color rgb="FFC9C9C9"/>
        </bottom>
      </border>
    </dxf>
    <dxf>
      <border outline="0">
        <left style="thin">
          <color rgb="FF000000"/>
        </left>
        <right style="thin">
          <color rgb="FF000000"/>
        </right>
        <top style="medium">
          <color rgb="FFC9C9C9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rgb="FFEDEDED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C9C9C9"/>
        </left>
        <right style="medium">
          <color rgb="FFC9C9C9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141513</xdr:rowOff>
    </xdr:from>
    <xdr:to>
      <xdr:col>6</xdr:col>
      <xdr:colOff>65314</xdr:colOff>
      <xdr:row>29</xdr:row>
      <xdr:rowOff>12585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8D77AF2-46D7-D358-0456-0016E42A3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8713"/>
          <a:ext cx="7598228" cy="48676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94708F-9FDC-4E9C-ABB0-909955497D0C}" name="Tabla4" displayName="Tabla4" ref="A4:F8" totalsRowShown="0" headerRowDxfId="28" headerRowBorderDxfId="26" tableBorderDxfId="27">
  <autoFilter ref="A4:F8" xr:uid="{A094708F-9FDC-4E9C-ABB0-909955497D0C}"/>
  <tableColumns count="6">
    <tableColumn id="1" xr3:uid="{E97D1613-3D80-470F-B8D3-2978E3E6E160}" name="Concepto "/>
    <tableColumn id="2" xr3:uid="{CCF5D4AF-8BAE-495A-88C6-CA2CD7AF89E0}" name="Unidad "/>
    <tableColumn id="3" xr3:uid="{D56CDB72-72FA-4971-A195-6150120CC8B6}" name="Cantidad "/>
    <tableColumn id="4" xr3:uid="{0E5EC315-D5A6-4F9A-9635-A69863F16B74}" name="Precio x día"/>
    <tableColumn id="6" xr3:uid="{24643EE8-1FBB-4F3C-A6FD-7083A1BFFF67}" name="Dias"/>
    <tableColumn id="5" xr3:uid="{5DC71550-3006-470D-964D-7F16B07DF846}" name="Total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E5DB10-741B-4481-BE3F-6A53CABEFFA7}" name="Tabla5" displayName="Tabla5" ref="A11:F14" totalsRowShown="0" headerRowDxfId="25" headerRowBorderDxfId="23" tableBorderDxfId="24">
  <autoFilter ref="A11:F14" xr:uid="{2BE5DB10-741B-4481-BE3F-6A53CABEFFA7}"/>
  <tableColumns count="6">
    <tableColumn id="1" xr3:uid="{1DD23CCA-E859-4D7C-97B4-9E8BAB9C86A0}" name="Concepto "/>
    <tableColumn id="2" xr3:uid="{8DDB275D-3BA2-4BE3-B4B8-7B879C0178F7}" name="Unidad "/>
    <tableColumn id="3" xr3:uid="{28878BFB-2FEA-4914-9D24-F8DB26E8F204}" name="Cantidad "/>
    <tableColumn id="4" xr3:uid="{24180905-D88E-4276-A8EA-C8111709A1A5}" name="Precio x dia"/>
    <tableColumn id="5" xr3:uid="{D521E9DF-C5D4-480A-9AB6-0234F7C89B29}" name="Dias"/>
    <tableColumn id="6" xr3:uid="{0DF0400F-82F0-4CB9-984A-594B3DB20001}" name="Total " dataDxfId="22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455A34-B648-49B8-B395-0353CF5775AB}" name="Tabla10" displayName="Tabla10" ref="A18:E22" totalsRowShown="0" headerRowDxfId="21" dataDxfId="20">
  <autoFilter ref="A18:E22" xr:uid="{88455A34-B648-49B8-B395-0353CF5775AB}"/>
  <tableColumns count="5">
    <tableColumn id="1" xr3:uid="{14CF823E-341D-460E-BAE0-3535A3292A53}" name="Articulo" dataDxfId="19"/>
    <tableColumn id="2" xr3:uid="{70B5936B-B18E-43C9-B8C5-0648CAD3E9F8}" name="Cantidad / Paquetes" dataDxfId="18"/>
    <tableColumn id="5" xr3:uid="{3B5F9401-495E-4AF8-810D-675824403480}" name="Dias en Oficina" dataDxfId="17"/>
    <tableColumn id="4" xr3:uid="{8079A08A-73EA-4DFB-B40D-DC38B88697B6}" name="Costo por dia" dataDxfId="16"/>
    <tableColumn id="3" xr3:uid="{92C97654-E257-4203-8E42-DC389E9CDEE0}" name="Costo mensual" dataDxfId="15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412DE98-DE75-4B79-93F1-41A12C8B7661}" name="Tabla11" displayName="Tabla11" ref="A28:D38" totalsRowShown="0" headerRowDxfId="14" dataDxfId="13">
  <autoFilter ref="A28:D38" xr:uid="{F412DE98-DE75-4B79-93F1-41A12C8B7661}"/>
  <tableColumns count="4">
    <tableColumn id="1" xr3:uid="{E22951C0-BC39-42A1-8DDE-7E09607D4E34}" name="Puestos" dataDxfId="12"/>
    <tableColumn id="2" xr3:uid="{7510FDCF-3144-4EFC-856E-4639600200B7}" name="Cantidad" dataDxfId="11"/>
    <tableColumn id="3" xr3:uid="{3C398DE1-DC77-4CBC-9FDB-58D26CD21825}" name="Sueldo Bruto" dataDxfId="10"/>
    <tableColumn id="4" xr3:uid="{C498CF1C-91A0-479C-8847-4F2423553858}" name="Total" dataDxfId="9">
      <calculatedColumnFormula>Tabla11[[#This Row],[Sueldo Bruto]]*Tabla11[[#This Row],[Cantidad]]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A8C5F-1F2D-4EFE-BE73-8ECC8FC3668D}" name="Tabla1" displayName="Tabla1" ref="A3:E34" totalsRowShown="0">
  <autoFilter ref="A3:E34" xr:uid="{B75A8C5F-1F2D-4EFE-BE73-8ECC8FC3668D}"/>
  <tableColumns count="5">
    <tableColumn id="1" xr3:uid="{809C0951-F0EB-40CC-841F-7BDCE54E9B4D}" name="Actividad"/>
    <tableColumn id="2" xr3:uid="{78DC91F1-E28D-4F37-B83C-B39F744626F3}" name="Responsable"/>
    <tableColumn id="3" xr3:uid="{5D8C2F9A-94E0-48BA-B56E-8A0D304734E9}" name="Horas"/>
    <tableColumn id="4" xr3:uid="{7C1D9A69-04E0-4CE4-9B8E-14CDE2F62265}" name="Costo x hora"/>
    <tableColumn id="5" xr3:uid="{125F237B-39BF-45EC-929C-47D60FC2A109}" name="Costo Total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E5A4B7-94CC-493D-A3F4-760A27F15255}" name="Tabla13" displayName="Tabla13" ref="C4:H16" totalsRowShown="0" headerRowDxfId="8">
  <autoFilter ref="C4:H16" xr:uid="{70E5A4B7-94CC-493D-A3F4-760A27F15255}"/>
  <tableColumns count="6">
    <tableColumn id="1" xr3:uid="{7A88D783-7C83-414B-838C-C9AD0D241029}" name="Mes"/>
    <tableColumn id="2" xr3:uid="{8A45D9C3-ACAB-4499-8677-DC3381517CA1}" name="Afluencia" dataDxfId="7"/>
    <tableColumn id="3" xr3:uid="{95E9D054-E6D5-44B8-9E1C-0B399BDACB09}" name="UNIVERSO_x000a_10% de la afluencia (lo tomamos determinando la cantidad de personas que verán nuestra publicidad)" dataDxfId="6">
      <calculatedColumnFormula>D5*0.1</calculatedColumnFormula>
    </tableColumn>
    <tableColumn id="4" xr3:uid="{32B57BB1-26A6-442C-B7E0-0ACB3684A46C}" name="20% del 20% del universo(personas que realmente ven nuestra publicidad)">
      <calculatedColumnFormula>E5*0.2</calculatedColumnFormula>
    </tableColumn>
    <tableColumn id="5" xr3:uid="{3F2B446C-9721-46DE-8106-1091B6E3EAB8}" name="56.4% del universo de cada mes (Encuestas)" dataDxfId="5">
      <calculatedColumnFormula>F5*0.564</calculatedColumnFormula>
    </tableColumn>
    <tableColumn id="6" xr3:uid="{2BFCB970-81F0-4539-885F-26A7BA8F4A25}" name="Pronostico de acuerdo al costo de nuestra app que es de $50" dataDxfId="4">
      <calculatedColumnFormula>G5*50</calculatedColumnFormula>
    </tableColumn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CE272D-1ECB-4D9F-AFEC-AB544E1AF854}" name="Tabla15" displayName="Tabla15" ref="C20:G33" totalsRowShown="0" headerRowDxfId="3">
  <autoFilter ref="C20:G33" xr:uid="{35CE272D-1ECB-4D9F-AFEC-AB544E1AF854}"/>
  <tableColumns count="5">
    <tableColumn id="1" xr3:uid="{71B8843A-3C64-4964-B1C6-45BFAA96D5F7}" name="Mes"/>
    <tableColumn id="2" xr3:uid="{0A7E075A-A15E-443F-8F35-8E74F0FD95BF}" name="Número Vendedores" dataDxfId="2"/>
    <tableColumn id="3" xr3:uid="{5BA7F736-8E29-49E9-9E2B-234E2F79C8C8}" name="Total de ventas esperadas x  mes ( 7 ventas prospectas)"/>
    <tableColumn id="4" xr3:uid="{636BCCC9-7AF1-4C2F-ADD1-8961ECE7EBF8}" name="Total de ventas efectivas (60% de las ventas prospectas)"/>
    <tableColumn id="6" xr3:uid="{F5FEE747-F191-4A0B-BC26-06ECC47CB999}" name="44% de las encuestas consideran un precio de entre $150-$170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E6D2AB-7564-4321-9B9A-F52FAC02C14F}" name="Tabla57" displayName="Tabla57" ref="C37:D44" totalsRowShown="0">
  <autoFilter ref="C37:D44" xr:uid="{11E6D2AB-7564-4321-9B9A-F52FAC02C14F}"/>
  <tableColumns count="2">
    <tableColumn id="1" xr3:uid="{E8EB268C-AE99-465A-BC70-747998A8E2CD}" name="Negocio"/>
    <tableColumn id="2" xr3:uid="{C81DC8A2-A560-48F2-8B7A-15CDDB0A5B71}" name="Nombre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76B0FC-1FA1-4BED-8849-81DC613F56BA}" name="Tabla8" displayName="Tabla8" ref="W18:X24" totalsRowShown="0">
  <autoFilter ref="W18:X24" xr:uid="{6776B0FC-1FA1-4BED-8849-81DC613F56BA}"/>
  <tableColumns count="2">
    <tableColumn id="1" xr3:uid="{2E5429ED-3BA9-41BE-A4A3-47A726891778}" name="Columna1" dataDxfId="1"/>
    <tableColumn id="3" xr3:uid="{E8655A15-79D8-464A-8F5E-946FA77A9E77}" name="Columna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50"/>
  <sheetViews>
    <sheetView workbookViewId="0">
      <selection activeCell="U3" sqref="U3"/>
    </sheetView>
  </sheetViews>
  <sheetFormatPr defaultColWidth="8.85546875" defaultRowHeight="15"/>
  <cols>
    <col min="2" max="2" width="13.7109375" customWidth="1"/>
    <col min="3" max="3" width="28.140625" customWidth="1"/>
    <col min="4" max="4" width="18.85546875" customWidth="1"/>
    <col min="5" max="5" width="37.85546875" customWidth="1"/>
    <col min="6" max="6" width="30.140625" customWidth="1"/>
    <col min="7" max="7" width="14.7109375" customWidth="1"/>
    <col min="11" max="12" width="8.85546875" customWidth="1"/>
    <col min="13" max="13" width="11.28515625" customWidth="1"/>
    <col min="17" max="17" width="21.140625" customWidth="1"/>
  </cols>
  <sheetData>
    <row r="2" spans="1:20">
      <c r="A2" s="280" t="s">
        <v>0</v>
      </c>
      <c r="B2" s="281"/>
      <c r="C2" s="281"/>
      <c r="D2" s="281"/>
      <c r="E2" s="281"/>
      <c r="F2" s="281"/>
      <c r="G2" s="281"/>
      <c r="H2" s="281"/>
      <c r="I2" s="282"/>
      <c r="K2" s="74"/>
      <c r="L2" s="283"/>
      <c r="M2" s="283"/>
      <c r="N2" s="283"/>
      <c r="O2" s="283"/>
      <c r="P2" s="283"/>
      <c r="Q2" s="283"/>
      <c r="R2" s="283"/>
      <c r="S2" s="283"/>
      <c r="T2" s="283"/>
    </row>
    <row r="3" spans="1:20">
      <c r="A3" s="1" t="s">
        <v>1</v>
      </c>
      <c r="B3" s="280" t="s">
        <v>2</v>
      </c>
      <c r="C3" s="282"/>
      <c r="D3" s="1" t="s">
        <v>3</v>
      </c>
      <c r="E3" s="1" t="s">
        <v>4</v>
      </c>
      <c r="F3" s="1" t="s">
        <v>5</v>
      </c>
      <c r="G3" s="280" t="s">
        <v>6</v>
      </c>
      <c r="H3" s="281"/>
      <c r="I3" s="282"/>
      <c r="K3" s="74"/>
      <c r="L3" s="76"/>
      <c r="M3" s="75"/>
      <c r="N3" s="75"/>
      <c r="O3" s="76"/>
      <c r="P3" s="76"/>
      <c r="Q3" s="76"/>
      <c r="R3" s="75"/>
      <c r="S3" s="75"/>
      <c r="T3" s="75"/>
    </row>
    <row r="4" spans="1:20">
      <c r="A4" s="2"/>
      <c r="B4" s="8" t="s">
        <v>7</v>
      </c>
      <c r="C4" s="8" t="s">
        <v>8</v>
      </c>
      <c r="D4" s="2"/>
      <c r="E4" s="2"/>
      <c r="F4" s="2"/>
      <c r="G4" s="11" t="s">
        <v>9</v>
      </c>
      <c r="H4" s="12" t="s">
        <v>10</v>
      </c>
      <c r="I4" s="12" t="s">
        <v>11</v>
      </c>
      <c r="K4" s="74"/>
      <c r="L4" s="77"/>
      <c r="M4" s="78"/>
      <c r="N4" s="78"/>
      <c r="O4" s="77"/>
      <c r="P4" s="77"/>
      <c r="Q4" s="77"/>
      <c r="R4" s="79"/>
      <c r="S4" s="80"/>
      <c r="T4" s="80"/>
    </row>
    <row r="5" spans="1:20">
      <c r="A5" s="2">
        <v>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13" t="s">
        <v>18</v>
      </c>
      <c r="I5" s="13">
        <v>1</v>
      </c>
      <c r="K5" s="74"/>
      <c r="L5" s="77"/>
      <c r="M5" s="77"/>
      <c r="N5" s="77"/>
      <c r="O5" s="77"/>
      <c r="P5" s="77"/>
      <c r="Q5" s="77"/>
      <c r="R5" s="77"/>
      <c r="S5" s="81"/>
      <c r="T5" s="81"/>
    </row>
    <row r="6" spans="1:20">
      <c r="A6" s="2">
        <v>1</v>
      </c>
      <c r="B6" s="2" t="s">
        <v>12</v>
      </c>
      <c r="C6" s="2" t="s">
        <v>19</v>
      </c>
      <c r="D6" s="2" t="s">
        <v>20</v>
      </c>
      <c r="E6" s="2" t="s">
        <v>15</v>
      </c>
      <c r="F6" s="2" t="s">
        <v>16</v>
      </c>
      <c r="G6" s="2" t="s">
        <v>17</v>
      </c>
      <c r="H6" s="13" t="s">
        <v>18</v>
      </c>
      <c r="I6" s="13">
        <v>1</v>
      </c>
      <c r="K6" s="74"/>
      <c r="L6" s="77"/>
      <c r="M6" s="77"/>
      <c r="N6" s="77"/>
      <c r="O6" s="77"/>
      <c r="P6" s="77"/>
      <c r="Q6" s="77"/>
      <c r="R6" s="77"/>
      <c r="S6" s="81"/>
      <c r="T6" s="81"/>
    </row>
    <row r="7" spans="1:20">
      <c r="A7" s="2">
        <v>2</v>
      </c>
      <c r="B7" s="2" t="s">
        <v>21</v>
      </c>
      <c r="C7" s="2" t="s">
        <v>22</v>
      </c>
      <c r="D7" s="2" t="s">
        <v>14</v>
      </c>
      <c r="E7" s="2" t="s">
        <v>15</v>
      </c>
      <c r="F7" s="2" t="s">
        <v>23</v>
      </c>
      <c r="G7" s="2" t="s">
        <v>17</v>
      </c>
      <c r="H7" s="13" t="s">
        <v>18</v>
      </c>
      <c r="I7" s="13">
        <v>1</v>
      </c>
      <c r="K7" s="74"/>
      <c r="L7" s="74"/>
      <c r="M7" s="74"/>
      <c r="N7" s="74"/>
      <c r="O7" s="74"/>
      <c r="P7" s="74"/>
      <c r="Q7" s="74"/>
      <c r="R7" s="74"/>
      <c r="S7" s="74"/>
      <c r="T7" s="74"/>
    </row>
    <row r="8" spans="1:20">
      <c r="A8" s="2">
        <v>2</v>
      </c>
      <c r="B8" s="2" t="s">
        <v>21</v>
      </c>
      <c r="C8" s="2" t="s">
        <v>24</v>
      </c>
      <c r="D8" s="2" t="s">
        <v>14</v>
      </c>
      <c r="E8" s="2" t="s">
        <v>15</v>
      </c>
      <c r="F8" s="2" t="s">
        <v>16</v>
      </c>
      <c r="G8" s="2" t="s">
        <v>17</v>
      </c>
      <c r="H8" s="13" t="s">
        <v>18</v>
      </c>
      <c r="I8" s="13">
        <v>1</v>
      </c>
      <c r="K8" s="74"/>
      <c r="L8" s="77"/>
      <c r="M8" s="77"/>
      <c r="N8" s="77"/>
      <c r="O8" s="77"/>
      <c r="P8" s="77"/>
      <c r="Q8" s="77"/>
      <c r="R8" s="77"/>
      <c r="S8" s="81"/>
      <c r="T8" s="81"/>
    </row>
    <row r="9" spans="1:20">
      <c r="A9" s="2">
        <v>3</v>
      </c>
      <c r="B9" s="2" t="s">
        <v>25</v>
      </c>
      <c r="C9" s="2" t="s">
        <v>26</v>
      </c>
      <c r="D9" s="2" t="s">
        <v>14</v>
      </c>
      <c r="E9" s="2" t="s">
        <v>15</v>
      </c>
      <c r="F9" s="2" t="s">
        <v>16</v>
      </c>
      <c r="G9" s="2" t="s">
        <v>23</v>
      </c>
      <c r="H9" s="13" t="s">
        <v>23</v>
      </c>
      <c r="I9" s="13">
        <v>0</v>
      </c>
      <c r="K9" s="74"/>
      <c r="L9" s="74"/>
      <c r="M9" s="74"/>
      <c r="N9" s="74"/>
      <c r="O9" s="74"/>
      <c r="P9" s="74"/>
      <c r="Q9" s="74"/>
      <c r="R9" s="74"/>
      <c r="S9" s="74"/>
      <c r="T9" s="74"/>
    </row>
    <row r="10" spans="1:20">
      <c r="A10" s="2">
        <v>3</v>
      </c>
      <c r="B10" s="2" t="s">
        <v>27</v>
      </c>
      <c r="C10" s="2" t="s">
        <v>28</v>
      </c>
      <c r="D10" s="2" t="s">
        <v>14</v>
      </c>
      <c r="E10" s="2" t="s">
        <v>15</v>
      </c>
      <c r="F10" s="2" t="s">
        <v>16</v>
      </c>
      <c r="G10" s="2" t="s">
        <v>17</v>
      </c>
      <c r="H10" s="13" t="s">
        <v>18</v>
      </c>
      <c r="I10" s="13">
        <v>1</v>
      </c>
      <c r="K10" s="74"/>
      <c r="L10" s="77"/>
      <c r="M10" s="77"/>
      <c r="N10" s="77"/>
      <c r="O10" s="77"/>
      <c r="P10" s="77"/>
      <c r="Q10" s="77"/>
      <c r="R10" s="77"/>
      <c r="S10" s="81"/>
      <c r="T10" s="81"/>
    </row>
    <row r="11" spans="1:20" ht="29.25">
      <c r="A11" s="2">
        <v>4</v>
      </c>
      <c r="B11" s="2" t="s">
        <v>29</v>
      </c>
      <c r="C11" s="9" t="s">
        <v>30</v>
      </c>
      <c r="D11" s="2" t="s">
        <v>14</v>
      </c>
      <c r="E11" s="2" t="s">
        <v>15</v>
      </c>
      <c r="F11" s="2" t="s">
        <v>16</v>
      </c>
      <c r="G11" s="2" t="s">
        <v>23</v>
      </c>
      <c r="H11" s="13" t="s">
        <v>23</v>
      </c>
      <c r="I11" s="13">
        <v>0</v>
      </c>
      <c r="K11" s="74"/>
      <c r="L11" s="77"/>
      <c r="M11" s="77"/>
      <c r="N11" s="77"/>
      <c r="O11" s="77"/>
      <c r="P11" s="77"/>
      <c r="Q11" s="77"/>
      <c r="R11" s="77"/>
      <c r="S11" s="81"/>
      <c r="T11" s="81"/>
    </row>
    <row r="12" spans="1:20">
      <c r="A12" s="2"/>
      <c r="B12" s="2"/>
      <c r="C12" s="9"/>
      <c r="D12" s="2"/>
      <c r="E12" s="2" t="s">
        <v>15</v>
      </c>
      <c r="F12" s="2"/>
      <c r="G12" s="2"/>
      <c r="H12" s="13"/>
      <c r="I12" s="13"/>
      <c r="K12" s="74"/>
      <c r="L12" s="77"/>
      <c r="M12" s="77"/>
      <c r="N12" s="77"/>
      <c r="O12" s="77"/>
      <c r="P12" s="77"/>
      <c r="Q12" s="77"/>
      <c r="R12" s="77"/>
      <c r="S12" s="81"/>
      <c r="T12" s="81"/>
    </row>
    <row r="13" spans="1:20">
      <c r="A13" s="2">
        <v>5</v>
      </c>
      <c r="B13" s="2" t="s">
        <v>31</v>
      </c>
      <c r="C13" s="2" t="s">
        <v>32</v>
      </c>
      <c r="D13" s="2" t="s">
        <v>14</v>
      </c>
      <c r="E13" s="2" t="s">
        <v>15</v>
      </c>
      <c r="F13" s="2" t="s">
        <v>16</v>
      </c>
      <c r="G13" s="2" t="s">
        <v>23</v>
      </c>
      <c r="H13" s="13" t="s">
        <v>23</v>
      </c>
      <c r="I13" s="13">
        <v>0</v>
      </c>
      <c r="K13" s="74"/>
      <c r="L13" s="77"/>
      <c r="M13" s="77"/>
      <c r="N13" s="77"/>
      <c r="O13" s="77"/>
      <c r="P13" s="77"/>
      <c r="Q13" s="77"/>
      <c r="R13" s="77"/>
      <c r="S13" s="81"/>
      <c r="T13" s="81"/>
    </row>
    <row r="14" spans="1:20">
      <c r="A14" s="3"/>
      <c r="B14" s="3"/>
      <c r="C14" s="3"/>
      <c r="D14" s="3"/>
      <c r="E14" s="3"/>
      <c r="F14" s="3"/>
      <c r="G14" s="3"/>
    </row>
    <row r="15" spans="1:20">
      <c r="A15" s="284" t="s">
        <v>33</v>
      </c>
      <c r="B15" s="284"/>
      <c r="C15" s="284"/>
      <c r="D15" s="284"/>
      <c r="E15" s="284"/>
      <c r="F15" s="284"/>
      <c r="G15" s="284"/>
      <c r="H15" s="284"/>
      <c r="I15" s="284"/>
    </row>
    <row r="16" spans="1:20">
      <c r="A16" s="4" t="s">
        <v>1</v>
      </c>
      <c r="B16" s="284" t="s">
        <v>2</v>
      </c>
      <c r="C16" s="284"/>
      <c r="D16" s="4" t="s">
        <v>3</v>
      </c>
      <c r="E16" s="4" t="s">
        <v>4</v>
      </c>
      <c r="F16" s="4" t="s">
        <v>5</v>
      </c>
      <c r="G16" s="284" t="s">
        <v>6</v>
      </c>
      <c r="H16" s="284"/>
      <c r="I16" s="284"/>
    </row>
    <row r="17" spans="1:9">
      <c r="A17" s="2"/>
      <c r="B17" s="8" t="s">
        <v>7</v>
      </c>
      <c r="C17" s="8" t="s">
        <v>8</v>
      </c>
      <c r="D17" s="2"/>
      <c r="E17" s="2"/>
      <c r="F17" s="2"/>
      <c r="G17" s="11" t="s">
        <v>9</v>
      </c>
      <c r="H17" s="12" t="s">
        <v>34</v>
      </c>
      <c r="I17" s="12" t="s">
        <v>35</v>
      </c>
    </row>
    <row r="18" spans="1:9">
      <c r="A18" s="2">
        <v>1</v>
      </c>
      <c r="B18" s="2" t="s">
        <v>36</v>
      </c>
      <c r="C18" s="2" t="s">
        <v>37</v>
      </c>
      <c r="D18" s="2" t="s">
        <v>14</v>
      </c>
      <c r="E18" s="2" t="s">
        <v>38</v>
      </c>
      <c r="F18" s="2" t="s">
        <v>39</v>
      </c>
      <c r="G18" s="2" t="s">
        <v>17</v>
      </c>
      <c r="H18" s="13" t="s">
        <v>18</v>
      </c>
      <c r="I18" s="13">
        <v>1</v>
      </c>
    </row>
    <row r="19" spans="1:9">
      <c r="A19" s="2">
        <v>2</v>
      </c>
      <c r="B19" s="2" t="s">
        <v>40</v>
      </c>
      <c r="C19" s="2" t="s">
        <v>41</v>
      </c>
      <c r="D19" s="2" t="s">
        <v>42</v>
      </c>
      <c r="E19" s="2" t="s">
        <v>15</v>
      </c>
      <c r="F19" s="2" t="s">
        <v>39</v>
      </c>
      <c r="G19" s="2" t="s">
        <v>17</v>
      </c>
      <c r="H19" s="13" t="s">
        <v>18</v>
      </c>
      <c r="I19" s="13">
        <v>1</v>
      </c>
    </row>
    <row r="20" spans="1:9">
      <c r="A20" s="2">
        <v>3</v>
      </c>
      <c r="B20" s="2" t="s">
        <v>43</v>
      </c>
      <c r="C20" s="2" t="s">
        <v>44</v>
      </c>
      <c r="D20" s="2" t="s">
        <v>23</v>
      </c>
      <c r="E20" s="2" t="s">
        <v>45</v>
      </c>
      <c r="F20" s="2" t="s">
        <v>39</v>
      </c>
      <c r="G20" s="2" t="s">
        <v>46</v>
      </c>
      <c r="H20" s="13" t="s">
        <v>47</v>
      </c>
      <c r="I20" s="13">
        <v>50</v>
      </c>
    </row>
    <row r="21" spans="1:9">
      <c r="A21" s="2">
        <v>4</v>
      </c>
      <c r="B21" s="2" t="s">
        <v>48</v>
      </c>
      <c r="C21" s="2" t="s">
        <v>49</v>
      </c>
      <c r="D21" s="2" t="s">
        <v>23</v>
      </c>
      <c r="E21" s="2" t="s">
        <v>50</v>
      </c>
      <c r="F21" s="2" t="s">
        <v>39</v>
      </c>
      <c r="G21" s="2" t="s">
        <v>51</v>
      </c>
      <c r="H21" s="13" t="s">
        <v>23</v>
      </c>
      <c r="I21" s="13" t="s">
        <v>23</v>
      </c>
    </row>
    <row r="22" spans="1:9">
      <c r="A22" s="285">
        <v>5</v>
      </c>
      <c r="B22" s="285" t="s">
        <v>52</v>
      </c>
      <c r="C22" s="285" t="s">
        <v>53</v>
      </c>
      <c r="D22" s="285" t="s">
        <v>54</v>
      </c>
      <c r="E22" s="286" t="s">
        <v>55</v>
      </c>
      <c r="F22" s="286" t="s">
        <v>56</v>
      </c>
      <c r="G22" s="2" t="s">
        <v>17</v>
      </c>
      <c r="H22" s="14" t="s">
        <v>18</v>
      </c>
      <c r="I22" s="13">
        <v>1</v>
      </c>
    </row>
    <row r="23" spans="1:9">
      <c r="A23" s="285"/>
      <c r="B23" s="285"/>
      <c r="C23" s="285"/>
      <c r="D23" s="285"/>
      <c r="E23" s="286"/>
      <c r="F23" s="286"/>
      <c r="G23" s="2" t="s">
        <v>57</v>
      </c>
      <c r="H23" s="13" t="s">
        <v>58</v>
      </c>
      <c r="I23" s="13">
        <v>1</v>
      </c>
    </row>
    <row r="24" spans="1:9">
      <c r="A24" s="5"/>
      <c r="B24" s="5"/>
      <c r="C24" s="5"/>
      <c r="D24" s="5"/>
      <c r="E24" s="10"/>
      <c r="F24" s="10"/>
      <c r="G24" s="3"/>
      <c r="H24" s="15"/>
      <c r="I24" s="15"/>
    </row>
    <row r="25" spans="1:9">
      <c r="A25" s="278" t="s">
        <v>59</v>
      </c>
      <c r="B25" s="278"/>
      <c r="C25" s="278"/>
      <c r="D25" s="278"/>
      <c r="E25" s="278"/>
      <c r="F25" s="278"/>
      <c r="G25" s="278"/>
      <c r="H25" s="278"/>
      <c r="I25" s="278"/>
    </row>
    <row r="26" spans="1:9">
      <c r="A26" s="6" t="s">
        <v>1</v>
      </c>
      <c r="B26" s="278" t="s">
        <v>2</v>
      </c>
      <c r="C26" s="278"/>
      <c r="D26" s="6" t="s">
        <v>3</v>
      </c>
      <c r="E26" s="6" t="s">
        <v>4</v>
      </c>
      <c r="F26" s="6" t="s">
        <v>5</v>
      </c>
      <c r="G26" s="278" t="s">
        <v>6</v>
      </c>
      <c r="H26" s="278"/>
      <c r="I26" s="278"/>
    </row>
    <row r="27" spans="1:9">
      <c r="A27" s="2"/>
      <c r="B27" s="8" t="s">
        <v>7</v>
      </c>
      <c r="C27" s="8" t="s">
        <v>8</v>
      </c>
      <c r="D27" s="2"/>
      <c r="E27" s="2"/>
      <c r="F27" s="2"/>
      <c r="G27" s="11" t="s">
        <v>9</v>
      </c>
      <c r="H27" s="12" t="s">
        <v>34</v>
      </c>
      <c r="I27" s="12" t="s">
        <v>35</v>
      </c>
    </row>
    <row r="28" spans="1:9">
      <c r="A28" s="2">
        <v>1</v>
      </c>
      <c r="B28" s="2" t="s">
        <v>60</v>
      </c>
      <c r="C28" s="2" t="s">
        <v>61</v>
      </c>
      <c r="D28" s="2" t="s">
        <v>54</v>
      </c>
      <c r="E28" s="2" t="s">
        <v>62</v>
      </c>
      <c r="F28" s="2" t="s">
        <v>63</v>
      </c>
      <c r="G28" s="2" t="s">
        <v>23</v>
      </c>
      <c r="H28" s="13" t="s">
        <v>23</v>
      </c>
      <c r="I28" s="13" t="s">
        <v>23</v>
      </c>
    </row>
    <row r="29" spans="1:9">
      <c r="A29" s="2">
        <v>2</v>
      </c>
      <c r="B29" s="2" t="s">
        <v>64</v>
      </c>
      <c r="C29" s="2" t="s">
        <v>65</v>
      </c>
      <c r="D29" s="2" t="s">
        <v>54</v>
      </c>
      <c r="E29" s="2" t="s">
        <v>66</v>
      </c>
      <c r="F29" s="2" t="s">
        <v>67</v>
      </c>
      <c r="G29" s="2" t="s">
        <v>23</v>
      </c>
      <c r="H29" s="13" t="s">
        <v>23</v>
      </c>
      <c r="I29" s="13" t="s">
        <v>23</v>
      </c>
    </row>
    <row r="30" spans="1:9">
      <c r="A30" s="2">
        <v>3</v>
      </c>
      <c r="B30" s="2" t="s">
        <v>68</v>
      </c>
      <c r="C30" s="2" t="s">
        <v>61</v>
      </c>
      <c r="D30" s="2" t="s">
        <v>54</v>
      </c>
      <c r="E30" s="2" t="s">
        <v>69</v>
      </c>
      <c r="F30" s="2" t="s">
        <v>67</v>
      </c>
      <c r="G30" s="2" t="s">
        <v>23</v>
      </c>
      <c r="H30" s="13" t="s">
        <v>23</v>
      </c>
      <c r="I30" s="13" t="s">
        <v>23</v>
      </c>
    </row>
    <row r="31" spans="1:9">
      <c r="A31" s="2">
        <v>4</v>
      </c>
      <c r="B31" s="2" t="s">
        <v>70</v>
      </c>
      <c r="C31" s="2" t="s">
        <v>71</v>
      </c>
      <c r="D31" s="2" t="s">
        <v>54</v>
      </c>
      <c r="E31" s="2" t="s">
        <v>72</v>
      </c>
      <c r="F31" s="2" t="s">
        <v>67</v>
      </c>
      <c r="G31" s="2" t="s">
        <v>23</v>
      </c>
      <c r="H31" s="13" t="s">
        <v>23</v>
      </c>
      <c r="I31" s="13" t="s">
        <v>23</v>
      </c>
    </row>
    <row r="32" spans="1:9">
      <c r="A32" s="2">
        <v>5</v>
      </c>
      <c r="B32" s="2" t="s">
        <v>73</v>
      </c>
      <c r="C32" s="2" t="s">
        <v>74</v>
      </c>
      <c r="D32" s="2" t="s">
        <v>54</v>
      </c>
      <c r="E32" s="2" t="s">
        <v>75</v>
      </c>
      <c r="F32" s="2" t="s">
        <v>67</v>
      </c>
      <c r="G32" s="2" t="s">
        <v>23</v>
      </c>
      <c r="H32" s="13" t="s">
        <v>23</v>
      </c>
      <c r="I32" s="13" t="s">
        <v>23</v>
      </c>
    </row>
    <row r="33" spans="1:9">
      <c r="A33" s="3"/>
      <c r="B33" s="3"/>
      <c r="C33" s="3"/>
      <c r="D33" s="3"/>
      <c r="E33" s="3"/>
      <c r="F33" s="3"/>
      <c r="G33" s="3"/>
    </row>
    <row r="34" spans="1:9">
      <c r="A34" s="279" t="s">
        <v>76</v>
      </c>
      <c r="B34" s="279"/>
      <c r="C34" s="279"/>
      <c r="D34" s="279"/>
      <c r="E34" s="279"/>
      <c r="F34" s="279"/>
      <c r="G34" s="279"/>
      <c r="H34" s="279"/>
      <c r="I34" s="279"/>
    </row>
    <row r="35" spans="1:9">
      <c r="A35" s="1" t="s">
        <v>1</v>
      </c>
      <c r="B35" s="279" t="s">
        <v>2</v>
      </c>
      <c r="C35" s="279"/>
      <c r="D35" s="1" t="s">
        <v>3</v>
      </c>
      <c r="E35" s="1" t="s">
        <v>4</v>
      </c>
      <c r="F35" s="1" t="s">
        <v>5</v>
      </c>
      <c r="G35" s="279" t="s">
        <v>6</v>
      </c>
      <c r="H35" s="279"/>
      <c r="I35" s="279"/>
    </row>
    <row r="36" spans="1:9">
      <c r="A36" s="2"/>
      <c r="B36" s="8" t="s">
        <v>7</v>
      </c>
      <c r="C36" s="8" t="s">
        <v>8</v>
      </c>
      <c r="D36" s="2"/>
      <c r="E36" s="2"/>
      <c r="F36" s="2"/>
      <c r="G36" s="11" t="s">
        <v>9</v>
      </c>
      <c r="H36" s="12" t="s">
        <v>34</v>
      </c>
      <c r="I36" s="12" t="s">
        <v>35</v>
      </c>
    </row>
    <row r="37" spans="1:9">
      <c r="A37" s="2">
        <v>1</v>
      </c>
      <c r="B37" s="2" t="s">
        <v>77</v>
      </c>
      <c r="C37" s="2" t="s">
        <v>78</v>
      </c>
      <c r="D37" s="2" t="s">
        <v>54</v>
      </c>
      <c r="E37" s="2" t="s">
        <v>79</v>
      </c>
      <c r="F37" s="2" t="s">
        <v>80</v>
      </c>
      <c r="G37" s="2" t="s">
        <v>81</v>
      </c>
      <c r="H37" s="13" t="s">
        <v>58</v>
      </c>
      <c r="I37" s="13">
        <v>2</v>
      </c>
    </row>
    <row r="38" spans="1:9">
      <c r="A38" s="2">
        <v>2</v>
      </c>
      <c r="B38" s="2" t="s">
        <v>82</v>
      </c>
      <c r="C38" s="2" t="s">
        <v>83</v>
      </c>
      <c r="D38" s="2" t="s">
        <v>54</v>
      </c>
      <c r="E38" s="2" t="s">
        <v>79</v>
      </c>
      <c r="F38" s="2" t="s">
        <v>80</v>
      </c>
      <c r="G38" s="2" t="s">
        <v>81</v>
      </c>
      <c r="H38" s="13" t="s">
        <v>58</v>
      </c>
      <c r="I38" s="13">
        <v>2</v>
      </c>
    </row>
    <row r="39" spans="1:9">
      <c r="A39" s="2">
        <v>3</v>
      </c>
      <c r="B39" s="2" t="s">
        <v>84</v>
      </c>
      <c r="C39" s="2" t="s">
        <v>85</v>
      </c>
      <c r="D39" s="2" t="s">
        <v>54</v>
      </c>
      <c r="E39" s="2" t="s">
        <v>79</v>
      </c>
      <c r="F39" s="2" t="s">
        <v>80</v>
      </c>
      <c r="G39" s="2" t="s">
        <v>81</v>
      </c>
      <c r="H39" s="13" t="s">
        <v>58</v>
      </c>
      <c r="I39" s="13">
        <v>2</v>
      </c>
    </row>
    <row r="40" spans="1:9">
      <c r="A40" s="2">
        <v>4</v>
      </c>
      <c r="B40" s="2" t="s">
        <v>86</v>
      </c>
      <c r="C40" s="2" t="s">
        <v>87</v>
      </c>
      <c r="D40" s="2" t="s">
        <v>54</v>
      </c>
      <c r="E40" s="2" t="s">
        <v>79</v>
      </c>
      <c r="F40" s="2" t="s">
        <v>80</v>
      </c>
      <c r="G40" s="2" t="s">
        <v>81</v>
      </c>
      <c r="H40" s="13" t="s">
        <v>58</v>
      </c>
      <c r="I40" s="13">
        <v>2</v>
      </c>
    </row>
    <row r="41" spans="1:9">
      <c r="A41" s="2">
        <v>5</v>
      </c>
      <c r="B41" s="2" t="s">
        <v>86</v>
      </c>
      <c r="C41" s="2" t="s">
        <v>88</v>
      </c>
      <c r="D41" s="2" t="s">
        <v>54</v>
      </c>
      <c r="E41" s="2" t="s">
        <v>79</v>
      </c>
      <c r="F41" s="2" t="s">
        <v>80</v>
      </c>
      <c r="G41" s="2" t="s">
        <v>81</v>
      </c>
      <c r="H41" s="13" t="s">
        <v>58</v>
      </c>
      <c r="I41" s="13">
        <v>2</v>
      </c>
    </row>
    <row r="42" spans="1:9">
      <c r="A42" s="3"/>
      <c r="B42" s="3"/>
      <c r="C42" s="3"/>
      <c r="D42" s="3"/>
      <c r="E42" s="3"/>
      <c r="F42" s="3"/>
      <c r="G42" s="3"/>
    </row>
    <row r="43" spans="1:9">
      <c r="A43" s="277" t="s">
        <v>89</v>
      </c>
      <c r="B43" s="277"/>
      <c r="C43" s="277"/>
      <c r="D43" s="277"/>
      <c r="E43" s="277"/>
      <c r="F43" s="277"/>
      <c r="G43" s="277"/>
      <c r="H43" s="277"/>
      <c r="I43" s="277"/>
    </row>
    <row r="44" spans="1:9">
      <c r="A44" s="7" t="s">
        <v>1</v>
      </c>
      <c r="B44" s="277" t="s">
        <v>2</v>
      </c>
      <c r="C44" s="277"/>
      <c r="D44" s="7" t="s">
        <v>3</v>
      </c>
      <c r="E44" s="7" t="s">
        <v>4</v>
      </c>
      <c r="F44" s="7" t="s">
        <v>5</v>
      </c>
      <c r="G44" s="277" t="s">
        <v>6</v>
      </c>
      <c r="H44" s="277"/>
      <c r="I44" s="277"/>
    </row>
    <row r="45" spans="1:9">
      <c r="A45" s="2"/>
      <c r="B45" s="8" t="s">
        <v>7</v>
      </c>
      <c r="C45" s="8" t="s">
        <v>8</v>
      </c>
      <c r="D45" s="2"/>
      <c r="E45" s="2"/>
      <c r="F45" s="2"/>
      <c r="G45" s="11" t="s">
        <v>9</v>
      </c>
      <c r="H45" s="12" t="s">
        <v>34</v>
      </c>
      <c r="I45" s="12" t="s">
        <v>35</v>
      </c>
    </row>
    <row r="46" spans="1:9">
      <c r="A46" s="2">
        <v>1</v>
      </c>
      <c r="B46" s="2" t="s">
        <v>90</v>
      </c>
      <c r="C46" s="2" t="s">
        <v>91</v>
      </c>
      <c r="D46" s="2" t="s">
        <v>54</v>
      </c>
      <c r="E46" s="2" t="s">
        <v>92</v>
      </c>
      <c r="F46" s="2" t="s">
        <v>93</v>
      </c>
      <c r="G46" s="2" t="s">
        <v>81</v>
      </c>
      <c r="H46" s="13" t="s">
        <v>58</v>
      </c>
      <c r="I46" s="13">
        <v>2</v>
      </c>
    </row>
    <row r="47" spans="1:9">
      <c r="A47" s="2">
        <v>2</v>
      </c>
      <c r="B47" s="2" t="s">
        <v>94</v>
      </c>
      <c r="C47" s="2" t="s">
        <v>95</v>
      </c>
      <c r="D47" s="2" t="s">
        <v>54</v>
      </c>
      <c r="E47" s="2" t="s">
        <v>96</v>
      </c>
      <c r="F47" s="2" t="s">
        <v>93</v>
      </c>
      <c r="G47" s="2" t="s">
        <v>81</v>
      </c>
      <c r="H47" s="13" t="s">
        <v>58</v>
      </c>
      <c r="I47" s="13">
        <v>2</v>
      </c>
    </row>
    <row r="48" spans="1:9">
      <c r="A48" s="2">
        <v>3</v>
      </c>
      <c r="B48" s="2" t="s">
        <v>86</v>
      </c>
      <c r="C48" s="2" t="s">
        <v>97</v>
      </c>
      <c r="D48" s="2" t="s">
        <v>54</v>
      </c>
      <c r="E48" s="2" t="s">
        <v>96</v>
      </c>
      <c r="F48" s="2" t="s">
        <v>93</v>
      </c>
      <c r="G48" s="2" t="s">
        <v>81</v>
      </c>
      <c r="H48" s="13" t="s">
        <v>58</v>
      </c>
      <c r="I48" s="13">
        <v>2</v>
      </c>
    </row>
    <row r="49" spans="1:9">
      <c r="A49" s="2">
        <v>4</v>
      </c>
      <c r="B49" s="2" t="s">
        <v>98</v>
      </c>
      <c r="C49" s="2" t="s">
        <v>99</v>
      </c>
      <c r="D49" s="2" t="s">
        <v>54</v>
      </c>
      <c r="E49" s="2" t="s">
        <v>96</v>
      </c>
      <c r="F49" s="2" t="s">
        <v>93</v>
      </c>
      <c r="G49" s="2" t="s">
        <v>81</v>
      </c>
      <c r="H49" s="13" t="s">
        <v>58</v>
      </c>
      <c r="I49" s="13">
        <v>2</v>
      </c>
    </row>
    <row r="50" spans="1:9">
      <c r="A50" s="2">
        <v>5</v>
      </c>
      <c r="B50" s="2" t="s">
        <v>100</v>
      </c>
      <c r="C50" s="2" t="s">
        <v>101</v>
      </c>
      <c r="D50" s="2" t="s">
        <v>23</v>
      </c>
      <c r="E50" s="2" t="s">
        <v>23</v>
      </c>
      <c r="F50" s="2" t="s">
        <v>93</v>
      </c>
      <c r="G50" s="2" t="s">
        <v>81</v>
      </c>
      <c r="H50" s="13" t="s">
        <v>58</v>
      </c>
      <c r="I50" s="13">
        <v>2</v>
      </c>
    </row>
  </sheetData>
  <mergeCells count="22">
    <mergeCell ref="G3:I3"/>
    <mergeCell ref="B3:C3"/>
    <mergeCell ref="L2:T2"/>
    <mergeCell ref="A2:I2"/>
    <mergeCell ref="A43:I43"/>
    <mergeCell ref="G16:I16"/>
    <mergeCell ref="A22:A23"/>
    <mergeCell ref="B22:B23"/>
    <mergeCell ref="C22:C23"/>
    <mergeCell ref="D22:D23"/>
    <mergeCell ref="E22:E23"/>
    <mergeCell ref="F22:F23"/>
    <mergeCell ref="A15:I15"/>
    <mergeCell ref="B16:C16"/>
    <mergeCell ref="B44:C44"/>
    <mergeCell ref="G44:I44"/>
    <mergeCell ref="A25:I25"/>
    <mergeCell ref="B26:C26"/>
    <mergeCell ref="G26:I26"/>
    <mergeCell ref="A34:I34"/>
    <mergeCell ref="B35:C35"/>
    <mergeCell ref="G35:I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CC3A-7F0C-45F4-A2D0-94878E709D39}">
  <dimension ref="A1:F38"/>
  <sheetViews>
    <sheetView topLeftCell="A24" zoomScaleNormal="100" workbookViewId="0">
      <selection activeCell="F8" sqref="F8"/>
    </sheetView>
  </sheetViews>
  <sheetFormatPr defaultColWidth="11.42578125" defaultRowHeight="15"/>
  <cols>
    <col min="1" max="1" width="30.5703125" customWidth="1"/>
    <col min="2" max="2" width="23.7109375" customWidth="1"/>
    <col min="3" max="3" width="19.7109375" customWidth="1"/>
    <col min="4" max="4" width="20.28515625" customWidth="1"/>
    <col min="5" max="5" width="20.7109375" customWidth="1"/>
    <col min="6" max="6" width="18.5703125" customWidth="1"/>
  </cols>
  <sheetData>
    <row r="1" spans="1:6" ht="17.45" customHeight="1">
      <c r="A1" s="287" t="s">
        <v>102</v>
      </c>
      <c r="B1" s="287"/>
      <c r="C1" s="287"/>
      <c r="D1" s="287"/>
      <c r="E1" s="287"/>
      <c r="F1" s="287"/>
    </row>
    <row r="3" spans="1:6" ht="18" customHeight="1">
      <c r="A3" s="288" t="s">
        <v>103</v>
      </c>
      <c r="B3" s="289"/>
      <c r="C3" s="289"/>
      <c r="D3" s="289"/>
      <c r="E3" s="289"/>
      <c r="F3" s="289"/>
    </row>
    <row r="4" spans="1:6" ht="16.5" thickBot="1">
      <c r="A4" s="22" t="s">
        <v>104</v>
      </c>
      <c r="B4" s="23" t="s">
        <v>105</v>
      </c>
      <c r="C4" s="23" t="s">
        <v>106</v>
      </c>
      <c r="D4" s="23" t="s">
        <v>107</v>
      </c>
      <c r="E4" s="24" t="s">
        <v>108</v>
      </c>
      <c r="F4" s="24" t="s">
        <v>109</v>
      </c>
    </row>
    <row r="5" spans="1:6">
      <c r="A5" s="21" t="s">
        <v>110</v>
      </c>
      <c r="B5" s="17" t="s">
        <v>111</v>
      </c>
      <c r="C5" s="26">
        <v>3</v>
      </c>
      <c r="D5" s="185">
        <v>126</v>
      </c>
      <c r="E5" s="25">
        <v>30</v>
      </c>
      <c r="F5" s="188">
        <f>Tabla4[[#This Row],[Cantidad ]]*Tabla4[[#This Row],[Precio x día]]*Tabla4[[#This Row],[Dias]]</f>
        <v>11340</v>
      </c>
    </row>
    <row r="6" spans="1:6">
      <c r="A6" s="20" t="s">
        <v>112</v>
      </c>
      <c r="B6" s="16" t="s">
        <v>113</v>
      </c>
      <c r="C6" s="27">
        <v>3</v>
      </c>
      <c r="D6" s="186">
        <v>900</v>
      </c>
      <c r="E6" s="28">
        <v>30</v>
      </c>
      <c r="F6" s="188">
        <f>Tabla4[[#This Row],[Cantidad ]]*Tabla4[[#This Row],[Precio x día]]*Tabla4[[#This Row],[Dias]]</f>
        <v>81000</v>
      </c>
    </row>
    <row r="7" spans="1:6" ht="37.15" customHeight="1" thickBot="1">
      <c r="A7" s="29" t="s">
        <v>114</v>
      </c>
      <c r="B7" s="30" t="s">
        <v>113</v>
      </c>
      <c r="C7" s="31">
        <v>5</v>
      </c>
      <c r="D7" s="187">
        <v>5000</v>
      </c>
      <c r="E7" s="25">
        <v>30</v>
      </c>
      <c r="F7" s="188">
        <f>Tabla4[[#This Row],[Cantidad ]]*Tabla4[[#This Row],[Precio x día]]*Tabla4[[#This Row],[Dias]]</f>
        <v>750000</v>
      </c>
    </row>
    <row r="8" spans="1:6" ht="16.149999999999999" customHeight="1">
      <c r="A8" s="50"/>
      <c r="B8" s="50"/>
      <c r="C8" s="50"/>
      <c r="D8" s="50"/>
      <c r="E8" s="51" t="s">
        <v>109</v>
      </c>
      <c r="F8" s="189">
        <f>SUM(F5:F7)</f>
        <v>842340</v>
      </c>
    </row>
    <row r="10" spans="1:6" ht="18" customHeight="1">
      <c r="A10" s="290" t="s">
        <v>115</v>
      </c>
      <c r="B10" s="291"/>
      <c r="C10" s="291"/>
      <c r="D10" s="291"/>
      <c r="E10" s="291"/>
      <c r="F10" s="291"/>
    </row>
    <row r="11" spans="1:6" ht="16.5" thickBot="1">
      <c r="A11" s="38" t="s">
        <v>104</v>
      </c>
      <c r="B11" s="39" t="s">
        <v>105</v>
      </c>
      <c r="C11" s="39" t="s">
        <v>106</v>
      </c>
      <c r="D11" s="39" t="s">
        <v>116</v>
      </c>
      <c r="E11" s="40" t="s">
        <v>108</v>
      </c>
      <c r="F11" s="41" t="s">
        <v>117</v>
      </c>
    </row>
    <row r="12" spans="1:6" ht="45.75">
      <c r="A12" s="37" t="s">
        <v>118</v>
      </c>
      <c r="B12" s="19" t="s">
        <v>113</v>
      </c>
      <c r="C12" s="32">
        <v>5</v>
      </c>
      <c r="D12" s="191">
        <v>3200</v>
      </c>
      <c r="E12" s="33">
        <v>30</v>
      </c>
      <c r="F12" s="193">
        <f>E12*D12*Tabla5[[#This Row],[Cantidad ]]</f>
        <v>480000</v>
      </c>
    </row>
    <row r="13" spans="1:6" ht="30.75">
      <c r="A13" s="36" t="s">
        <v>119</v>
      </c>
      <c r="B13" s="18" t="s">
        <v>120</v>
      </c>
      <c r="C13" s="34">
        <v>2</v>
      </c>
      <c r="D13" s="192">
        <v>126</v>
      </c>
      <c r="E13" s="35">
        <v>30</v>
      </c>
      <c r="F13" s="193">
        <f>E13*D13*Tabla5[[#This Row],[Cantidad ]]</f>
        <v>7560</v>
      </c>
    </row>
    <row r="14" spans="1:6" ht="21" customHeight="1" thickBot="1">
      <c r="A14" s="52"/>
      <c r="B14" s="53"/>
      <c r="C14" s="54"/>
      <c r="D14" s="53"/>
      <c r="E14" s="42" t="s">
        <v>109</v>
      </c>
      <c r="F14" s="194">
        <f>SUM(F12:F13)</f>
        <v>487560</v>
      </c>
    </row>
    <row r="16" spans="1:6" ht="18" customHeight="1">
      <c r="A16" s="287" t="s">
        <v>121</v>
      </c>
      <c r="B16" s="287"/>
      <c r="C16" s="287"/>
      <c r="D16" s="287"/>
      <c r="E16" s="287"/>
      <c r="F16" s="287"/>
    </row>
    <row r="18" spans="1:6" ht="15.75">
      <c r="A18" s="43" t="s">
        <v>122</v>
      </c>
      <c r="B18" s="43" t="s">
        <v>123</v>
      </c>
      <c r="C18" s="43" t="s">
        <v>124</v>
      </c>
      <c r="D18" s="43" t="s">
        <v>125</v>
      </c>
      <c r="E18" s="43" t="s">
        <v>126</v>
      </c>
    </row>
    <row r="19" spans="1:6" ht="15.75">
      <c r="A19" s="43" t="s">
        <v>127</v>
      </c>
      <c r="B19" s="44">
        <v>4</v>
      </c>
      <c r="C19" s="44"/>
      <c r="D19" s="156"/>
      <c r="E19" s="196">
        <v>560</v>
      </c>
    </row>
    <row r="20" spans="1:6" ht="15.75">
      <c r="A20" s="43" t="s">
        <v>57</v>
      </c>
      <c r="B20" s="44">
        <v>4</v>
      </c>
      <c r="C20" s="44"/>
      <c r="D20" s="156"/>
      <c r="E20" s="196">
        <v>300</v>
      </c>
    </row>
    <row r="21" spans="1:6" ht="15.75">
      <c r="A21" s="43" t="s">
        <v>128</v>
      </c>
      <c r="B21" s="44">
        <v>1</v>
      </c>
      <c r="C21" s="44">
        <v>4</v>
      </c>
      <c r="D21" s="195">
        <v>2750</v>
      </c>
      <c r="E21" s="196">
        <f>Tabla10[[#This Row],[Costo por dia]]*Tabla10[[#This Row],[Dias en Oficina]]</f>
        <v>11000</v>
      </c>
    </row>
    <row r="22" spans="1:6" ht="18" customHeight="1">
      <c r="A22" s="45"/>
      <c r="B22" s="46"/>
      <c r="C22" s="46"/>
      <c r="D22" s="46" t="s">
        <v>109</v>
      </c>
      <c r="E22" s="197">
        <f>SUM(E19:E21)</f>
        <v>11860</v>
      </c>
    </row>
    <row r="26" spans="1:6" ht="18" customHeight="1">
      <c r="A26" s="287" t="s">
        <v>129</v>
      </c>
      <c r="B26" s="287"/>
      <c r="C26" s="287"/>
      <c r="D26" s="287"/>
      <c r="E26" s="287"/>
      <c r="F26" s="287"/>
    </row>
    <row r="28" spans="1:6" ht="15.75">
      <c r="A28" s="43" t="s">
        <v>130</v>
      </c>
      <c r="B28" s="43" t="s">
        <v>35</v>
      </c>
      <c r="C28" s="43" t="s">
        <v>131</v>
      </c>
      <c r="D28" s="43" t="s">
        <v>109</v>
      </c>
    </row>
    <row r="29" spans="1:6" ht="15.75">
      <c r="A29" s="43" t="s">
        <v>132</v>
      </c>
      <c r="B29" s="43">
        <v>2</v>
      </c>
      <c r="C29" s="156">
        <v>11600</v>
      </c>
      <c r="D29" s="156">
        <f>Tabla11[[#This Row],[Sueldo Bruto]]*Tabla11[[#This Row],[Cantidad]]</f>
        <v>23200</v>
      </c>
    </row>
    <row r="30" spans="1:6" ht="15.75">
      <c r="A30" s="43" t="s">
        <v>80</v>
      </c>
      <c r="B30" s="43">
        <v>1</v>
      </c>
      <c r="C30" s="156">
        <v>7900</v>
      </c>
      <c r="D30" s="156">
        <f>Tabla11[[#This Row],[Sueldo Bruto]]*Tabla11[[#This Row],[Cantidad]]</f>
        <v>7900</v>
      </c>
    </row>
    <row r="31" spans="1:6" ht="15.75" customHeight="1">
      <c r="A31" s="43" t="s">
        <v>93</v>
      </c>
      <c r="B31" s="43">
        <v>1</v>
      </c>
      <c r="C31" s="156">
        <v>26000</v>
      </c>
      <c r="D31" s="156">
        <f>Tabla11[[#This Row],[Sueldo Bruto]]*Tabla11[[#This Row],[Cantidad]]</f>
        <v>26000</v>
      </c>
    </row>
    <row r="32" spans="1:6" ht="16.5" customHeight="1">
      <c r="A32" s="43" t="s">
        <v>39</v>
      </c>
      <c r="B32" s="43">
        <v>1</v>
      </c>
      <c r="C32" s="156">
        <v>8000</v>
      </c>
      <c r="D32" s="156">
        <f>Tabla11[[#This Row],[Sueldo Bruto]]*Tabla11[[#This Row],[Cantidad]]</f>
        <v>8000</v>
      </c>
    </row>
    <row r="33" spans="1:4" ht="15.75" customHeight="1">
      <c r="A33" s="43" t="s">
        <v>133</v>
      </c>
      <c r="B33" s="43">
        <v>1</v>
      </c>
      <c r="C33" s="156">
        <v>12600</v>
      </c>
      <c r="D33" s="156">
        <f>Tabla11[[#This Row],[Sueldo Bruto]]*Tabla11[[#This Row],[Cantidad]]</f>
        <v>12600</v>
      </c>
    </row>
    <row r="34" spans="1:4" ht="15.75">
      <c r="A34" s="43" t="s">
        <v>134</v>
      </c>
      <c r="B34" s="43">
        <v>1</v>
      </c>
      <c r="C34" s="156">
        <v>9900</v>
      </c>
      <c r="D34" s="156">
        <f>Tabla11[[#This Row],[Sueldo Bruto]]*Tabla11[[#This Row],[Cantidad]]</f>
        <v>9900</v>
      </c>
    </row>
    <row r="35" spans="1:4" ht="15.75">
      <c r="A35" s="43" t="s">
        <v>135</v>
      </c>
      <c r="B35" s="43">
        <v>4</v>
      </c>
      <c r="C35" s="156">
        <v>9000</v>
      </c>
      <c r="D35" s="156">
        <f>Tabla11[[#This Row],[Sueldo Bruto]]*Tabla11[[#This Row],[Cantidad]]</f>
        <v>36000</v>
      </c>
    </row>
    <row r="36" spans="1:4" ht="15.75">
      <c r="A36" s="43" t="s">
        <v>136</v>
      </c>
      <c r="B36" s="43">
        <v>1</v>
      </c>
      <c r="C36" s="156">
        <v>9500</v>
      </c>
      <c r="D36" s="156">
        <f>Tabla11[[#This Row],[Sueldo Bruto]]*Tabla11[[#This Row],[Cantidad]]</f>
        <v>9500</v>
      </c>
    </row>
    <row r="37" spans="1:4" ht="15.75">
      <c r="A37" s="43" t="s">
        <v>56</v>
      </c>
      <c r="B37" s="43">
        <v>1</v>
      </c>
      <c r="C37" s="156">
        <v>12000</v>
      </c>
      <c r="D37" s="156">
        <f>Tabla11[[#This Row],[Sueldo Bruto]]*Tabla11[[#This Row],[Cantidad]]</f>
        <v>12000</v>
      </c>
    </row>
    <row r="38" spans="1:4" ht="18" customHeight="1">
      <c r="A38" s="47"/>
      <c r="B38" s="48"/>
      <c r="C38" s="49" t="s">
        <v>109</v>
      </c>
      <c r="D38" s="198">
        <f>SUM(D29:D37)</f>
        <v>145100</v>
      </c>
    </row>
  </sheetData>
  <mergeCells count="5">
    <mergeCell ref="A16:F16"/>
    <mergeCell ref="A1:F1"/>
    <mergeCell ref="A26:F26"/>
    <mergeCell ref="A3:F3"/>
    <mergeCell ref="A10:F10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68DC-D989-40B8-BA23-65B4B09B326B}">
  <dimension ref="A1:E34"/>
  <sheetViews>
    <sheetView topLeftCell="A21" workbookViewId="0">
      <selection activeCell="F17" sqref="F17"/>
    </sheetView>
  </sheetViews>
  <sheetFormatPr defaultColWidth="11.42578125" defaultRowHeight="15"/>
  <cols>
    <col min="1" max="1" width="40.140625" customWidth="1"/>
    <col min="2" max="2" width="28.28515625" customWidth="1"/>
    <col min="3" max="3" width="16.42578125" customWidth="1"/>
    <col min="4" max="4" width="21.7109375" customWidth="1"/>
    <col min="5" max="5" width="17.7109375" customWidth="1"/>
  </cols>
  <sheetData>
    <row r="1" spans="1:5" ht="23.45" customHeight="1">
      <c r="A1" s="292" t="s">
        <v>137</v>
      </c>
      <c r="B1" s="292"/>
      <c r="C1" s="292"/>
      <c r="D1" s="292"/>
      <c r="E1" s="292"/>
    </row>
    <row r="3" spans="1:5">
      <c r="A3" t="s">
        <v>2</v>
      </c>
      <c r="B3" t="s">
        <v>138</v>
      </c>
      <c r="C3" t="s">
        <v>139</v>
      </c>
      <c r="D3" t="s">
        <v>140</v>
      </c>
      <c r="E3" t="s">
        <v>141</v>
      </c>
    </row>
    <row r="4" spans="1:5">
      <c r="A4" s="59" t="s">
        <v>142</v>
      </c>
    </row>
    <row r="5" spans="1:5">
      <c r="A5" t="s">
        <v>143</v>
      </c>
      <c r="B5" t="s">
        <v>144</v>
      </c>
      <c r="C5">
        <v>30</v>
      </c>
      <c r="D5" s="90">
        <v>56.25</v>
      </c>
      <c r="E5" s="90">
        <f>Tabla1[[#This Row],[Costo x hora]]*Tabla1[[#This Row],[Horas]]</f>
        <v>1687.5</v>
      </c>
    </row>
    <row r="6" spans="1:5">
      <c r="A6" t="s">
        <v>145</v>
      </c>
      <c r="B6" t="s">
        <v>146</v>
      </c>
      <c r="C6">
        <v>10</v>
      </c>
      <c r="D6" s="90">
        <v>56.25</v>
      </c>
      <c r="E6" s="90">
        <f>C6*D6</f>
        <v>562.5</v>
      </c>
    </row>
    <row r="7" spans="1:5">
      <c r="A7" t="s">
        <v>147</v>
      </c>
      <c r="B7" t="s">
        <v>93</v>
      </c>
      <c r="C7">
        <v>10</v>
      </c>
      <c r="D7" s="90">
        <v>162.5</v>
      </c>
      <c r="E7" s="90">
        <f>C7*D7</f>
        <v>1625</v>
      </c>
    </row>
    <row r="8" spans="1:5">
      <c r="A8" t="s">
        <v>148</v>
      </c>
      <c r="B8" t="s">
        <v>144</v>
      </c>
      <c r="C8">
        <v>40</v>
      </c>
      <c r="D8" s="90">
        <v>56.25</v>
      </c>
      <c r="E8" s="90">
        <f>C8*D8</f>
        <v>2250</v>
      </c>
    </row>
    <row r="9" spans="1:5">
      <c r="A9" t="s">
        <v>149</v>
      </c>
      <c r="B9" t="s">
        <v>80</v>
      </c>
      <c r="C9">
        <v>10</v>
      </c>
      <c r="D9" s="90">
        <v>49.375</v>
      </c>
      <c r="E9" s="90">
        <f>C9*D9</f>
        <v>493.75</v>
      </c>
    </row>
    <row r="10" spans="1:5">
      <c r="A10" t="s">
        <v>150</v>
      </c>
      <c r="B10" t="s">
        <v>93</v>
      </c>
      <c r="C10">
        <v>5</v>
      </c>
      <c r="D10" s="90">
        <v>162.5</v>
      </c>
      <c r="E10" s="90">
        <f>Tabla1[[#This Row],[Costo x hora]]*Tabla1[[#This Row],[Horas]]</f>
        <v>812.5</v>
      </c>
    </row>
    <row r="11" spans="1:5">
      <c r="A11" s="59" t="s">
        <v>151</v>
      </c>
      <c r="E11">
        <f>Tabla1[[#This Row],[Costo x hora]]*Tabla1[[#This Row],[Horas]]</f>
        <v>0</v>
      </c>
    </row>
    <row r="12" spans="1:5">
      <c r="A12" t="s">
        <v>152</v>
      </c>
      <c r="B12" t="s">
        <v>144</v>
      </c>
      <c r="C12">
        <v>7</v>
      </c>
      <c r="D12" s="90">
        <v>56.25</v>
      </c>
      <c r="E12" s="90">
        <f>Tabla1[[#This Row],[Costo x hora]]*Tabla1[[#This Row],[Horas]]</f>
        <v>393.75</v>
      </c>
    </row>
    <row r="13" spans="1:5">
      <c r="A13" t="s">
        <v>153</v>
      </c>
      <c r="B13" t="s">
        <v>144</v>
      </c>
      <c r="C13">
        <v>5</v>
      </c>
      <c r="D13" s="90">
        <v>56.25</v>
      </c>
      <c r="E13" s="90">
        <f>C13*D13</f>
        <v>281.25</v>
      </c>
    </row>
    <row r="14" spans="1:5">
      <c r="A14" t="s">
        <v>154</v>
      </c>
      <c r="B14" t="s">
        <v>144</v>
      </c>
      <c r="C14">
        <v>10</v>
      </c>
      <c r="D14" s="90">
        <v>56.25</v>
      </c>
      <c r="E14" s="90">
        <f>C14*D14</f>
        <v>562.5</v>
      </c>
    </row>
    <row r="15" spans="1:5">
      <c r="A15" t="s">
        <v>155</v>
      </c>
      <c r="B15" t="s">
        <v>156</v>
      </c>
      <c r="C15">
        <v>30</v>
      </c>
      <c r="D15" s="90">
        <v>56.25</v>
      </c>
      <c r="E15" s="90">
        <f>Tabla1[[#This Row],[Costo x hora]]*Tabla1[[#This Row],[Horas]]</f>
        <v>1687.5</v>
      </c>
    </row>
    <row r="16" spans="1:5">
      <c r="A16" t="s">
        <v>157</v>
      </c>
      <c r="B16" t="s">
        <v>156</v>
      </c>
      <c r="C16">
        <v>5</v>
      </c>
      <c r="D16" s="90">
        <v>56.25</v>
      </c>
      <c r="E16" s="90">
        <f>Tabla1[[#This Row],[Costo x hora]]*Tabla1[[#This Row],[Horas]]</f>
        <v>281.25</v>
      </c>
    </row>
    <row r="17" spans="1:5">
      <c r="A17" s="59" t="s">
        <v>158</v>
      </c>
      <c r="E17">
        <f>Tabla1[[#This Row],[Costo x hora]]*Tabla1[[#This Row],[Horas]]</f>
        <v>0</v>
      </c>
    </row>
    <row r="18" spans="1:5">
      <c r="A18" s="82" t="s">
        <v>159</v>
      </c>
      <c r="B18" t="s">
        <v>146</v>
      </c>
      <c r="C18">
        <v>35</v>
      </c>
      <c r="D18" s="90">
        <v>56.25</v>
      </c>
      <c r="E18" s="90">
        <f>C18*D18</f>
        <v>1968.75</v>
      </c>
    </row>
    <row r="19" spans="1:5">
      <c r="A19" t="s">
        <v>160</v>
      </c>
      <c r="B19" t="s">
        <v>146</v>
      </c>
      <c r="C19">
        <v>40</v>
      </c>
      <c r="D19" s="90">
        <v>56.25</v>
      </c>
      <c r="E19" s="90">
        <f>Tabla1[[#This Row],[Costo x hora]]*Tabla1[[#This Row],[Horas]]</f>
        <v>2250</v>
      </c>
    </row>
    <row r="20" spans="1:5">
      <c r="A20" s="59" t="s">
        <v>161</v>
      </c>
      <c r="E20">
        <f>Tabla1[[#This Row],[Costo x hora]]*Tabla1[[#This Row],[Horas]]</f>
        <v>0</v>
      </c>
    </row>
    <row r="21" spans="1:5">
      <c r="A21" s="82" t="s">
        <v>162</v>
      </c>
      <c r="B21" t="s">
        <v>136</v>
      </c>
      <c r="C21">
        <v>8</v>
      </c>
      <c r="D21" s="90">
        <v>59.375</v>
      </c>
      <c r="E21" s="90">
        <f>Tabla1[[#This Row],[Costo x hora]]*Tabla1[[#This Row],[Horas]]</f>
        <v>475</v>
      </c>
    </row>
    <row r="22" spans="1:5">
      <c r="A22" t="s">
        <v>163</v>
      </c>
      <c r="B22" t="s">
        <v>136</v>
      </c>
      <c r="C22">
        <v>8</v>
      </c>
      <c r="D22" s="90">
        <v>59.375</v>
      </c>
      <c r="E22" s="90">
        <f>Tabla1[[#This Row],[Costo x hora]]*Tabla1[[#This Row],[Horas]]</f>
        <v>475</v>
      </c>
    </row>
    <row r="23" spans="1:5">
      <c r="A23" t="s">
        <v>164</v>
      </c>
      <c r="B23" t="s">
        <v>136</v>
      </c>
      <c r="C23">
        <v>30</v>
      </c>
      <c r="D23" s="90">
        <v>59.375</v>
      </c>
      <c r="E23" s="90">
        <f>Tabla1[[#This Row],[Costo x hora]]*Tabla1[[#This Row],[Horas]]</f>
        <v>1781.25</v>
      </c>
    </row>
    <row r="24" spans="1:5">
      <c r="A24" t="s">
        <v>165</v>
      </c>
      <c r="B24" t="s">
        <v>136</v>
      </c>
      <c r="C24">
        <v>15</v>
      </c>
      <c r="D24" s="90">
        <v>59.375</v>
      </c>
      <c r="E24" s="90">
        <f>Tabla1[[#This Row],[Costo x hora]]*Tabla1[[#This Row],[Horas]]</f>
        <v>890.625</v>
      </c>
    </row>
    <row r="25" spans="1:5">
      <c r="A25" t="s">
        <v>166</v>
      </c>
      <c r="B25" t="s">
        <v>146</v>
      </c>
      <c r="C25">
        <v>20</v>
      </c>
      <c r="D25" s="90">
        <v>56.25</v>
      </c>
      <c r="E25" s="90">
        <f>Tabla1[[#This Row],[Costo x hora]]*Tabla1[[#This Row],[Horas]]</f>
        <v>1125</v>
      </c>
    </row>
    <row r="26" spans="1:5">
      <c r="A26" t="s">
        <v>167</v>
      </c>
      <c r="B26" t="s">
        <v>146</v>
      </c>
      <c r="C26">
        <v>20</v>
      </c>
      <c r="D26" s="90">
        <v>56.25</v>
      </c>
      <c r="E26" s="90">
        <f>Tabla1[[#This Row],[Costo x hora]]*Tabla1[[#This Row],[Horas]]</f>
        <v>1125</v>
      </c>
    </row>
    <row r="27" spans="1:5">
      <c r="A27" s="59" t="s">
        <v>168</v>
      </c>
      <c r="E27">
        <f>Tabla1[[#This Row],[Costo x hora]]*Tabla1[[#This Row],[Horas]]</f>
        <v>0</v>
      </c>
    </row>
    <row r="28" spans="1:5">
      <c r="A28" t="s">
        <v>169</v>
      </c>
      <c r="B28" t="s">
        <v>146</v>
      </c>
      <c r="C28">
        <v>5</v>
      </c>
      <c r="D28" s="90">
        <v>56.25</v>
      </c>
      <c r="E28" s="90">
        <f>Tabla1[[#This Row],[Costo x hora]]*Tabla1[[#This Row],[Horas]]</f>
        <v>281.25</v>
      </c>
    </row>
    <row r="29" spans="1:5">
      <c r="A29" t="s">
        <v>170</v>
      </c>
      <c r="B29" t="s">
        <v>146</v>
      </c>
      <c r="C29">
        <v>5</v>
      </c>
      <c r="D29" s="90">
        <v>56.25</v>
      </c>
      <c r="E29" s="90">
        <f>Tabla1[[#This Row],[Costo x hora]]*Tabla1[[#This Row],[Horas]]</f>
        <v>281.25</v>
      </c>
    </row>
    <row r="30" spans="1:5">
      <c r="A30" t="s">
        <v>171</v>
      </c>
      <c r="B30" t="s">
        <v>146</v>
      </c>
      <c r="C30">
        <v>5</v>
      </c>
      <c r="D30" s="90">
        <v>56.25</v>
      </c>
      <c r="E30" s="90">
        <f>Tabla1[[#This Row],[Costo x hora]]*Tabla1[[#This Row],[Horas]]</f>
        <v>281.25</v>
      </c>
    </row>
    <row r="31" spans="1:5">
      <c r="A31" s="59" t="s">
        <v>172</v>
      </c>
      <c r="E31">
        <f>Tabla1[[#This Row],[Costo x hora]]*Tabla1[[#This Row],[Horas]]</f>
        <v>0</v>
      </c>
    </row>
    <row r="32" spans="1:5">
      <c r="A32" t="s">
        <v>167</v>
      </c>
      <c r="B32" t="s">
        <v>146</v>
      </c>
      <c r="C32">
        <v>20</v>
      </c>
      <c r="D32" s="90">
        <v>56.25</v>
      </c>
      <c r="E32" s="90">
        <f>Tabla1[[#This Row],[Costo x hora]]*Tabla1[[#This Row],[Horas]]</f>
        <v>1125</v>
      </c>
    </row>
    <row r="33" spans="1:5">
      <c r="A33" t="s">
        <v>173</v>
      </c>
      <c r="B33" t="s">
        <v>146</v>
      </c>
      <c r="C33">
        <v>15</v>
      </c>
      <c r="D33" s="90">
        <v>56.25</v>
      </c>
      <c r="E33" s="90">
        <f>Tabla1[[#This Row],[Costo x hora]]*Tabla1[[#This Row],[Horas]]</f>
        <v>843.75</v>
      </c>
    </row>
    <row r="34" spans="1:5" ht="15.75">
      <c r="D34" s="72" t="s">
        <v>109</v>
      </c>
      <c r="E34" s="160">
        <f>SUM(E5:E33)</f>
        <v>23540.625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F839-A505-4C8B-B6C6-FEFFA2E2A14F}">
  <dimension ref="A1:N44"/>
  <sheetViews>
    <sheetView topLeftCell="D8" workbookViewId="0">
      <selection activeCell="F17" sqref="F17"/>
    </sheetView>
  </sheetViews>
  <sheetFormatPr defaultColWidth="9.140625" defaultRowHeight="15"/>
  <cols>
    <col min="3" max="3" width="18.28515625" customWidth="1"/>
    <col min="4" max="4" width="23" customWidth="1"/>
    <col min="5" max="5" width="37.140625" customWidth="1"/>
    <col min="6" max="6" width="32.7109375" customWidth="1"/>
    <col min="7" max="7" width="33.5703125" customWidth="1"/>
    <col min="8" max="8" width="39" customWidth="1"/>
    <col min="13" max="13" width="37.7109375" customWidth="1"/>
  </cols>
  <sheetData>
    <row r="1" spans="1:14" ht="23.25">
      <c r="A1" s="297" t="s">
        <v>174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73"/>
    </row>
    <row r="2" spans="1:14" ht="18">
      <c r="A2" s="293" t="s">
        <v>175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</row>
    <row r="4" spans="1:14" ht="116.45" customHeight="1">
      <c r="C4" s="55" t="s">
        <v>176</v>
      </c>
      <c r="D4" s="55" t="s">
        <v>177</v>
      </c>
      <c r="E4" s="56" t="s">
        <v>178</v>
      </c>
      <c r="F4" s="56" t="s">
        <v>179</v>
      </c>
      <c r="G4" s="56" t="s">
        <v>180</v>
      </c>
      <c r="H4" s="56" t="s">
        <v>181</v>
      </c>
    </row>
    <row r="5" spans="1:14">
      <c r="C5" t="s">
        <v>182</v>
      </c>
      <c r="D5" s="57">
        <v>2211936</v>
      </c>
      <c r="E5" s="58">
        <f>D5*0.1</f>
        <v>221193.60000000001</v>
      </c>
      <c r="F5" s="58">
        <f>E5*0.2</f>
        <v>44238.720000000001</v>
      </c>
      <c r="G5" s="62">
        <f>F5*0.564</f>
        <v>24950.638079999997</v>
      </c>
      <c r="H5" s="62">
        <f>G5*50</f>
        <v>1247531.9039999999</v>
      </c>
    </row>
    <row r="6" spans="1:14">
      <c r="C6" t="s">
        <v>183</v>
      </c>
      <c r="D6" s="57">
        <v>2128695</v>
      </c>
      <c r="E6" s="58">
        <f>D6*0.1</f>
        <v>212869.5</v>
      </c>
      <c r="F6" s="58">
        <f>E6*0.2</f>
        <v>42573.9</v>
      </c>
      <c r="G6" s="62">
        <f>F6*0.564</f>
        <v>24011.679599999999</v>
      </c>
      <c r="H6" s="62">
        <f>G6*50</f>
        <v>1200583.98</v>
      </c>
    </row>
    <row r="7" spans="1:14">
      <c r="C7" t="s">
        <v>184</v>
      </c>
      <c r="D7" s="57">
        <v>2697017</v>
      </c>
      <c r="E7" s="58">
        <f>D7*0.1</f>
        <v>269701.7</v>
      </c>
      <c r="F7" s="58">
        <f>E7*0.2</f>
        <v>53940.340000000004</v>
      </c>
      <c r="G7" s="62">
        <f>F7*0.564</f>
        <v>30422.351759999998</v>
      </c>
      <c r="H7" s="62">
        <f>G7*50</f>
        <v>1521117.588</v>
      </c>
    </row>
    <row r="8" spans="1:14">
      <c r="C8" t="s">
        <v>185</v>
      </c>
      <c r="D8" s="57">
        <v>2809483</v>
      </c>
      <c r="E8" s="58">
        <f>D8*0.1</f>
        <v>280948.3</v>
      </c>
      <c r="F8" s="58">
        <f>E8*0.2</f>
        <v>56189.66</v>
      </c>
      <c r="G8" s="62">
        <f>F8*0.564</f>
        <v>31690.968239999998</v>
      </c>
      <c r="H8" s="62">
        <f>G8*50</f>
        <v>1584548.412</v>
      </c>
    </row>
    <row r="9" spans="1:14">
      <c r="C9" t="s">
        <v>186</v>
      </c>
      <c r="D9" s="57">
        <v>2497510</v>
      </c>
      <c r="E9" s="58">
        <f>D9*0.1</f>
        <v>249751</v>
      </c>
      <c r="F9" s="58">
        <f>E9*0.2</f>
        <v>49950.200000000004</v>
      </c>
      <c r="G9" s="62">
        <f>F9*0.564</f>
        <v>28171.912799999998</v>
      </c>
      <c r="H9" s="62">
        <f>G9*50</f>
        <v>1408595.64</v>
      </c>
    </row>
    <row r="10" spans="1:14">
      <c r="C10" t="s">
        <v>187</v>
      </c>
      <c r="D10" s="57">
        <v>2358791</v>
      </c>
      <c r="E10" s="58">
        <f>D10*0.1</f>
        <v>235879.1</v>
      </c>
      <c r="F10" s="58">
        <f>E10*0.2</f>
        <v>47175.820000000007</v>
      </c>
      <c r="G10" s="62">
        <f>F10*0.564</f>
        <v>26607.162480000003</v>
      </c>
      <c r="H10" s="62">
        <f>G10*50</f>
        <v>1330358.1240000001</v>
      </c>
    </row>
    <row r="11" spans="1:14">
      <c r="C11" t="s">
        <v>188</v>
      </c>
      <c r="D11" s="57">
        <v>2903249</v>
      </c>
      <c r="E11" s="58">
        <f>D11*0.1</f>
        <v>290324.90000000002</v>
      </c>
      <c r="F11" s="58">
        <f>E11*0.2</f>
        <v>58064.98000000001</v>
      </c>
      <c r="G11" s="62">
        <f>F11*0.564</f>
        <v>32748.648720000001</v>
      </c>
      <c r="H11" s="62">
        <f>G11*50</f>
        <v>1637432.436</v>
      </c>
    </row>
    <row r="12" spans="1:14">
      <c r="C12" t="s">
        <v>189</v>
      </c>
      <c r="D12" s="57">
        <v>2929251</v>
      </c>
      <c r="E12" s="58">
        <f>D12*0.1</f>
        <v>292925.10000000003</v>
      </c>
      <c r="F12" s="58">
        <f>E12*0.2</f>
        <v>58585.020000000011</v>
      </c>
      <c r="G12" s="62">
        <f>F12*0.564</f>
        <v>33041.951280000001</v>
      </c>
      <c r="H12" s="62">
        <f>G12*50</f>
        <v>1652097.564</v>
      </c>
    </row>
    <row r="13" spans="1:14">
      <c r="C13" t="s">
        <v>190</v>
      </c>
      <c r="D13" s="57">
        <v>2643605</v>
      </c>
      <c r="E13" s="58">
        <f>D13*0.1</f>
        <v>264360.5</v>
      </c>
      <c r="F13" s="58">
        <f>E13*0.2</f>
        <v>52872.100000000006</v>
      </c>
      <c r="G13" s="62">
        <f>F13*0.564</f>
        <v>29819.864400000002</v>
      </c>
      <c r="H13" s="62">
        <f>G13*50</f>
        <v>1490993.2200000002</v>
      </c>
    </row>
    <row r="14" spans="1:14">
      <c r="C14" t="s">
        <v>191</v>
      </c>
      <c r="D14" s="57">
        <v>2869557</v>
      </c>
      <c r="E14" s="58">
        <f>D14*0.1</f>
        <v>286955.7</v>
      </c>
      <c r="F14" s="58">
        <f>E14*0.2</f>
        <v>57391.140000000007</v>
      </c>
      <c r="G14" s="62">
        <f>F14*0.564</f>
        <v>32368.60296</v>
      </c>
      <c r="H14" s="62">
        <f>G14*50</f>
        <v>1618430.148</v>
      </c>
    </row>
    <row r="15" spans="1:14">
      <c r="C15" t="s">
        <v>192</v>
      </c>
      <c r="D15" s="57">
        <v>2783628</v>
      </c>
      <c r="E15" s="58">
        <f>D15*0.1</f>
        <v>278362.8</v>
      </c>
      <c r="F15" s="58">
        <f>E15*0.2</f>
        <v>55672.56</v>
      </c>
      <c r="G15" s="62">
        <f>F15*0.564</f>
        <v>31399.323839999997</v>
      </c>
      <c r="H15" s="62">
        <f>G15*50</f>
        <v>1569966.1919999998</v>
      </c>
    </row>
    <row r="16" spans="1:14">
      <c r="C16" t="s">
        <v>193</v>
      </c>
      <c r="D16" s="57">
        <v>2861866</v>
      </c>
      <c r="E16" s="58">
        <f>D16*0.1</f>
        <v>286186.60000000003</v>
      </c>
      <c r="F16" s="58">
        <f>E16*0.2</f>
        <v>57237.320000000007</v>
      </c>
      <c r="G16" s="62">
        <f>F16*0.564</f>
        <v>32281.848480000001</v>
      </c>
      <c r="H16" s="62">
        <f>G16*50</f>
        <v>1614092.4240000001</v>
      </c>
    </row>
    <row r="17" spans="3:7" ht="15.75">
      <c r="E17" s="60" t="s">
        <v>194</v>
      </c>
      <c r="F17" s="61">
        <f>SUM(Tabla13[20% del 20% del universo(personas que realmente ven nuestra publicidad)])</f>
        <v>633891.76</v>
      </c>
    </row>
    <row r="20" spans="3:7" ht="59.45" customHeight="1">
      <c r="C20" s="56" t="s">
        <v>176</v>
      </c>
      <c r="D20" s="56" t="s">
        <v>195</v>
      </c>
      <c r="E20" s="56" t="s">
        <v>196</v>
      </c>
      <c r="F20" s="56" t="s">
        <v>197</v>
      </c>
      <c r="G20" s="56" t="s">
        <v>198</v>
      </c>
    </row>
    <row r="21" spans="3:7">
      <c r="C21" t="s">
        <v>182</v>
      </c>
      <c r="D21" s="57">
        <v>1</v>
      </c>
      <c r="E21">
        <f>Tabla15[[#This Row],[Número Vendedores]]*140</f>
        <v>140</v>
      </c>
      <c r="F21">
        <f>Tabla15[[#This Row],[Total de ventas esperadas x  mes ( 7 ventas prospectas)]]*0.6</f>
        <v>84</v>
      </c>
      <c r="G21">
        <f>Tabla15[[#This Row],[Total de ventas efectivas (60% de las ventas prospectas)]]*150</f>
        <v>12600</v>
      </c>
    </row>
    <row r="22" spans="3:7">
      <c r="C22" t="s">
        <v>183</v>
      </c>
      <c r="D22" s="57">
        <f>D21+2</f>
        <v>3</v>
      </c>
      <c r="E22">
        <f>Tabla15[[#This Row],[Número Vendedores]]*140</f>
        <v>420</v>
      </c>
      <c r="F22">
        <f>Tabla15[[#This Row],[Total de ventas esperadas x  mes ( 7 ventas prospectas)]]*0.6</f>
        <v>252</v>
      </c>
      <c r="G22">
        <f>Tabla15[[#This Row],[Total de ventas efectivas (60% de las ventas prospectas)]]*150</f>
        <v>37800</v>
      </c>
    </row>
    <row r="23" spans="3:7">
      <c r="C23" t="s">
        <v>184</v>
      </c>
      <c r="D23" s="57">
        <f t="shared" ref="D23:D25" si="0">D22+2</f>
        <v>5</v>
      </c>
      <c r="E23">
        <f>Tabla15[[#This Row],[Número Vendedores]]*140</f>
        <v>700</v>
      </c>
      <c r="F23">
        <f>Tabla15[[#This Row],[Total de ventas esperadas x  mes ( 7 ventas prospectas)]]*0.6</f>
        <v>420</v>
      </c>
      <c r="G23">
        <f>Tabla15[[#This Row],[Total de ventas efectivas (60% de las ventas prospectas)]]*150</f>
        <v>63000</v>
      </c>
    </row>
    <row r="24" spans="3:7">
      <c r="C24" t="s">
        <v>185</v>
      </c>
      <c r="D24" s="57">
        <f t="shared" si="0"/>
        <v>7</v>
      </c>
      <c r="E24">
        <f>Tabla15[[#This Row],[Número Vendedores]]*140</f>
        <v>980</v>
      </c>
      <c r="F24">
        <f>Tabla15[[#This Row],[Total de ventas esperadas x  mes ( 7 ventas prospectas)]]*0.6</f>
        <v>588</v>
      </c>
      <c r="G24">
        <f>Tabla15[[#This Row],[Total de ventas efectivas (60% de las ventas prospectas)]]*150</f>
        <v>88200</v>
      </c>
    </row>
    <row r="25" spans="3:7">
      <c r="C25" t="s">
        <v>186</v>
      </c>
      <c r="D25" s="57">
        <f t="shared" si="0"/>
        <v>9</v>
      </c>
      <c r="E25">
        <f>Tabla15[[#This Row],[Número Vendedores]]*140</f>
        <v>1260</v>
      </c>
      <c r="F25">
        <f>Tabla15[[#This Row],[Total de ventas esperadas x  mes ( 7 ventas prospectas)]]*0.6</f>
        <v>756</v>
      </c>
      <c r="G25">
        <f>Tabla15[[#This Row],[Total de ventas efectivas (60% de las ventas prospectas)]]*150</f>
        <v>113400</v>
      </c>
    </row>
    <row r="26" spans="3:7">
      <c r="C26" t="s">
        <v>187</v>
      </c>
      <c r="D26" s="57">
        <v>10</v>
      </c>
      <c r="E26">
        <f>Tabla15[[#This Row],[Número Vendedores]]*140</f>
        <v>1400</v>
      </c>
      <c r="F26">
        <f>Tabla15[[#This Row],[Total de ventas esperadas x  mes ( 7 ventas prospectas)]]*0.6</f>
        <v>840</v>
      </c>
      <c r="G26">
        <f>Tabla15[[#This Row],[Total de ventas efectivas (60% de las ventas prospectas)]]*150</f>
        <v>126000</v>
      </c>
    </row>
    <row r="27" spans="3:7">
      <c r="C27" t="s">
        <v>188</v>
      </c>
      <c r="D27" s="57">
        <v>10</v>
      </c>
      <c r="E27">
        <f>Tabla15[[#This Row],[Número Vendedores]]*140</f>
        <v>1400</v>
      </c>
      <c r="F27">
        <f>Tabla15[[#This Row],[Total de ventas esperadas x  mes ( 7 ventas prospectas)]]*0.6</f>
        <v>840</v>
      </c>
      <c r="G27">
        <f>Tabla15[[#This Row],[Total de ventas efectivas (60% de las ventas prospectas)]]*150</f>
        <v>126000</v>
      </c>
    </row>
    <row r="28" spans="3:7">
      <c r="C28" t="s">
        <v>189</v>
      </c>
      <c r="D28" s="57">
        <v>10</v>
      </c>
      <c r="E28">
        <f>Tabla15[[#This Row],[Número Vendedores]]*140</f>
        <v>1400</v>
      </c>
      <c r="F28">
        <f>Tabla15[[#This Row],[Total de ventas esperadas x  mes ( 7 ventas prospectas)]]*0.6</f>
        <v>840</v>
      </c>
      <c r="G28">
        <f>Tabla15[[#This Row],[Total de ventas efectivas (60% de las ventas prospectas)]]*150</f>
        <v>126000</v>
      </c>
    </row>
    <row r="29" spans="3:7">
      <c r="C29" t="s">
        <v>190</v>
      </c>
      <c r="D29" s="57">
        <v>10</v>
      </c>
      <c r="E29">
        <f>Tabla15[[#This Row],[Número Vendedores]]*140</f>
        <v>1400</v>
      </c>
      <c r="F29">
        <f>Tabla15[[#This Row],[Total de ventas esperadas x  mes ( 7 ventas prospectas)]]*0.6</f>
        <v>840</v>
      </c>
      <c r="G29">
        <f>Tabla15[[#This Row],[Total de ventas efectivas (60% de las ventas prospectas)]]*150</f>
        <v>126000</v>
      </c>
    </row>
    <row r="30" spans="3:7">
      <c r="C30" t="s">
        <v>191</v>
      </c>
      <c r="D30" s="57">
        <v>10</v>
      </c>
      <c r="E30">
        <f>Tabla15[[#This Row],[Número Vendedores]]*140</f>
        <v>1400</v>
      </c>
      <c r="F30">
        <f>Tabla15[[#This Row],[Total de ventas esperadas x  mes ( 7 ventas prospectas)]]*0.6</f>
        <v>840</v>
      </c>
      <c r="G30">
        <f>Tabla15[[#This Row],[Total de ventas efectivas (60% de las ventas prospectas)]]*150</f>
        <v>126000</v>
      </c>
    </row>
    <row r="31" spans="3:7">
      <c r="C31" t="s">
        <v>192</v>
      </c>
      <c r="D31" s="57">
        <v>10</v>
      </c>
      <c r="E31" s="66">
        <f>Tabla15[[#This Row],[Número Vendedores]]*140</f>
        <v>1400</v>
      </c>
      <c r="F31">
        <f>Tabla15[[#This Row],[Total de ventas esperadas x  mes ( 7 ventas prospectas)]]*0.6</f>
        <v>840</v>
      </c>
      <c r="G31">
        <f>Tabla15[[#This Row],[Total de ventas efectivas (60% de las ventas prospectas)]]*150</f>
        <v>126000</v>
      </c>
    </row>
    <row r="32" spans="3:7">
      <c r="C32" t="s">
        <v>193</v>
      </c>
      <c r="D32" s="57">
        <v>10</v>
      </c>
      <c r="E32">
        <f>Tabla15[[#This Row],[Número Vendedores]]*140</f>
        <v>1400</v>
      </c>
      <c r="F32">
        <f>Tabla15[[#This Row],[Total de ventas esperadas x  mes ( 7 ventas prospectas)]]*0.6</f>
        <v>840</v>
      </c>
      <c r="G32">
        <f>Tabla15[[#This Row],[Total de ventas efectivas (60% de las ventas prospectas)]]*150</f>
        <v>126000</v>
      </c>
    </row>
    <row r="33" spans="3:7">
      <c r="D33" s="65"/>
      <c r="E33" s="63" t="s">
        <v>199</v>
      </c>
      <c r="F33" s="64">
        <f>SUM(F21:F32)</f>
        <v>7980</v>
      </c>
    </row>
    <row r="36" spans="3:7" ht="18.75">
      <c r="C36" s="294" t="s">
        <v>200</v>
      </c>
      <c r="D36" s="294"/>
      <c r="F36" s="295" t="s">
        <v>201</v>
      </c>
      <c r="G36" s="295"/>
    </row>
    <row r="37" spans="3:7">
      <c r="C37" t="s">
        <v>202</v>
      </c>
      <c r="D37" t="s">
        <v>203</v>
      </c>
      <c r="F37" s="67" t="s">
        <v>203</v>
      </c>
      <c r="G37" s="67" t="s">
        <v>204</v>
      </c>
    </row>
    <row r="38" spans="3:7">
      <c r="C38" t="s">
        <v>205</v>
      </c>
      <c r="D38" t="s">
        <v>206</v>
      </c>
      <c r="F38" s="68" t="s">
        <v>207</v>
      </c>
      <c r="G38" s="69">
        <v>33431</v>
      </c>
    </row>
    <row r="39" spans="3:7">
      <c r="C39" t="s">
        <v>208</v>
      </c>
      <c r="D39" t="s">
        <v>209</v>
      </c>
      <c r="F39" s="70" t="s">
        <v>210</v>
      </c>
      <c r="G39" s="70">
        <v>631</v>
      </c>
    </row>
    <row r="40" spans="3:7">
      <c r="C40" t="s">
        <v>211</v>
      </c>
      <c r="D40" t="s">
        <v>212</v>
      </c>
      <c r="F40" s="70" t="s">
        <v>213</v>
      </c>
      <c r="G40" s="70">
        <v>170</v>
      </c>
    </row>
    <row r="41" spans="3:7">
      <c r="C41" t="s">
        <v>214</v>
      </c>
      <c r="D41" t="s">
        <v>215</v>
      </c>
      <c r="F41" s="70" t="s">
        <v>216</v>
      </c>
      <c r="G41" s="70">
        <v>176</v>
      </c>
    </row>
    <row r="42" spans="3:7">
      <c r="C42" t="s">
        <v>214</v>
      </c>
      <c r="D42" t="s">
        <v>217</v>
      </c>
      <c r="F42" s="71" t="s">
        <v>109</v>
      </c>
      <c r="G42" s="70">
        <f>SUM(G38:G41)</f>
        <v>34408</v>
      </c>
    </row>
    <row r="43" spans="3:7">
      <c r="C43" t="s">
        <v>214</v>
      </c>
      <c r="D43" t="s">
        <v>218</v>
      </c>
    </row>
    <row r="44" spans="3:7" ht="18.75">
      <c r="C44" t="s">
        <v>219</v>
      </c>
      <c r="D44" t="s">
        <v>220</v>
      </c>
      <c r="F44" s="296"/>
      <c r="G44" s="296"/>
    </row>
  </sheetData>
  <mergeCells count="5">
    <mergeCell ref="A2:M2"/>
    <mergeCell ref="C36:D36"/>
    <mergeCell ref="F36:G36"/>
    <mergeCell ref="F44:G44"/>
    <mergeCell ref="A1:M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A2AF-1E83-4338-93DD-BDF90F8AE56F}">
  <dimension ref="A1:K32"/>
  <sheetViews>
    <sheetView topLeftCell="C1" zoomScale="70" zoomScaleNormal="70" workbookViewId="0">
      <selection activeCell="I30" sqref="I30"/>
    </sheetView>
  </sheetViews>
  <sheetFormatPr defaultColWidth="11.42578125" defaultRowHeight="15"/>
  <cols>
    <col min="1" max="1" width="52.5703125" customWidth="1"/>
    <col min="3" max="3" width="15.140625" customWidth="1"/>
    <col min="4" max="4" width="15.5703125" customWidth="1"/>
    <col min="5" max="5" width="27.5703125" customWidth="1"/>
    <col min="6" max="6" width="19.28515625" customWidth="1"/>
    <col min="7" max="7" width="28.140625" customWidth="1"/>
    <col min="8" max="8" width="38.28515625" customWidth="1"/>
    <col min="9" max="9" width="36.5703125" customWidth="1"/>
    <col min="10" max="10" width="31.42578125" customWidth="1"/>
  </cols>
  <sheetData>
    <row r="1" spans="1:11" ht="29.25" customHeight="1">
      <c r="A1" s="304" t="s">
        <v>221</v>
      </c>
      <c r="B1" s="304"/>
      <c r="C1" s="304"/>
      <c r="D1" s="304"/>
      <c r="E1" s="304"/>
      <c r="F1" s="304"/>
      <c r="G1" s="304"/>
      <c r="H1" s="304"/>
      <c r="I1" s="304"/>
      <c r="J1" s="304"/>
    </row>
    <row r="2" spans="1:11" ht="16.899999999999999" customHeight="1">
      <c r="A2" s="83"/>
      <c r="B2" s="83"/>
      <c r="C2" s="83"/>
      <c r="D2" s="83"/>
      <c r="E2" s="83"/>
      <c r="F2" s="83"/>
      <c r="G2" s="83"/>
      <c r="H2" s="83"/>
      <c r="I2" s="83"/>
      <c r="J2" s="83"/>
    </row>
    <row r="3" spans="1:11" ht="27" customHeight="1">
      <c r="A3" s="84" t="s">
        <v>222</v>
      </c>
      <c r="B3" s="84" t="s">
        <v>10</v>
      </c>
      <c r="C3" s="84" t="s">
        <v>35</v>
      </c>
      <c r="D3" s="84" t="s">
        <v>223</v>
      </c>
      <c r="E3" s="84" t="s">
        <v>109</v>
      </c>
      <c r="G3" s="309" t="s">
        <v>224</v>
      </c>
      <c r="H3" s="309"/>
      <c r="I3" s="309"/>
      <c r="J3" s="309"/>
    </row>
    <row r="4" spans="1:11" ht="39" customHeight="1">
      <c r="A4" s="305" t="s">
        <v>225</v>
      </c>
      <c r="B4" s="305"/>
      <c r="C4" s="305"/>
      <c r="D4" s="305"/>
      <c r="E4" s="305"/>
      <c r="G4" s="163" t="s">
        <v>226</v>
      </c>
      <c r="H4" s="111" t="s">
        <v>227</v>
      </c>
      <c r="I4" s="112" t="s">
        <v>228</v>
      </c>
      <c r="J4" s="113" t="s">
        <v>229</v>
      </c>
    </row>
    <row r="5" spans="1:11" ht="18.75">
      <c r="A5" s="306" t="s">
        <v>230</v>
      </c>
      <c r="B5" s="307"/>
      <c r="C5" s="307"/>
      <c r="D5" s="307"/>
      <c r="E5" s="308"/>
      <c r="G5" s="97"/>
      <c r="H5" s="97"/>
      <c r="I5" s="97"/>
      <c r="J5" s="96"/>
    </row>
    <row r="6" spans="1:11" ht="18.75">
      <c r="A6" s="85" t="s">
        <v>231</v>
      </c>
      <c r="B6" s="85" t="s">
        <v>232</v>
      </c>
      <c r="C6" s="85">
        <v>12</v>
      </c>
      <c r="D6" s="156">
        <v>3859</v>
      </c>
      <c r="E6" s="89">
        <f>C6*D6</f>
        <v>46308</v>
      </c>
      <c r="G6" s="161"/>
      <c r="H6" s="92">
        <f>E6</f>
        <v>46308</v>
      </c>
      <c r="I6" s="92"/>
      <c r="J6" s="91"/>
    </row>
    <row r="7" spans="1:11" ht="18.75">
      <c r="A7" s="85" t="s">
        <v>233</v>
      </c>
      <c r="B7" s="85" t="s">
        <v>234</v>
      </c>
      <c r="C7" s="85">
        <v>12</v>
      </c>
      <c r="D7" s="89">
        <v>20000</v>
      </c>
      <c r="E7" s="89">
        <f>C7*D7</f>
        <v>240000</v>
      </c>
      <c r="G7" s="92"/>
      <c r="H7" s="92">
        <f>E7</f>
        <v>240000</v>
      </c>
      <c r="I7" s="161"/>
      <c r="J7" s="91"/>
    </row>
    <row r="8" spans="1:11" ht="18.75">
      <c r="A8" s="85" t="s">
        <v>235</v>
      </c>
      <c r="B8" s="85" t="s">
        <v>234</v>
      </c>
      <c r="C8" s="85">
        <v>2</v>
      </c>
      <c r="D8" s="89">
        <v>5000</v>
      </c>
      <c r="E8" s="89">
        <f>C8*D8</f>
        <v>10000</v>
      </c>
      <c r="G8" s="92">
        <f>E8</f>
        <v>10000</v>
      </c>
      <c r="H8" s="92"/>
      <c r="I8" s="161"/>
      <c r="J8" s="91"/>
    </row>
    <row r="9" spans="1:11" ht="18.75">
      <c r="A9" s="85" t="s">
        <v>236</v>
      </c>
      <c r="B9" s="85" t="s">
        <v>234</v>
      </c>
      <c r="C9" s="85">
        <v>1</v>
      </c>
      <c r="D9" s="89">
        <v>10000</v>
      </c>
      <c r="E9" s="89">
        <f>C9*D9</f>
        <v>10000</v>
      </c>
      <c r="G9" s="92"/>
      <c r="H9" s="92">
        <f>E9</f>
        <v>10000</v>
      </c>
      <c r="I9" s="161"/>
      <c r="J9" s="91"/>
    </row>
    <row r="10" spans="1:11" ht="18.75">
      <c r="A10" s="85" t="s">
        <v>237</v>
      </c>
      <c r="B10" s="85" t="s">
        <v>234</v>
      </c>
      <c r="C10" s="85">
        <v>1</v>
      </c>
      <c r="D10" s="89">
        <v>4000</v>
      </c>
      <c r="E10" s="89">
        <f>C10*D10</f>
        <v>4000</v>
      </c>
      <c r="G10" s="92">
        <f>E10</f>
        <v>4000</v>
      </c>
      <c r="H10" s="92"/>
      <c r="I10" s="161"/>
      <c r="J10" s="91"/>
    </row>
    <row r="11" spans="1:11" ht="18.75">
      <c r="A11" s="85" t="s">
        <v>238</v>
      </c>
      <c r="B11" s="85" t="s">
        <v>234</v>
      </c>
      <c r="C11" s="85">
        <v>1</v>
      </c>
      <c r="D11" s="89">
        <v>18000</v>
      </c>
      <c r="E11" s="89">
        <f t="shared" ref="E11:E13" si="0">C11*D11</f>
        <v>18000</v>
      </c>
      <c r="G11" s="92">
        <f>E11</f>
        <v>18000</v>
      </c>
      <c r="H11" s="92"/>
      <c r="I11" s="161"/>
      <c r="J11" s="91"/>
      <c r="K11" s="57"/>
    </row>
    <row r="12" spans="1:11" ht="18.75">
      <c r="A12" s="180" t="s">
        <v>92</v>
      </c>
      <c r="B12" s="180" t="s">
        <v>10</v>
      </c>
      <c r="C12" s="180">
        <v>12</v>
      </c>
      <c r="D12" s="181">
        <v>0</v>
      </c>
      <c r="E12" s="181">
        <f t="shared" si="0"/>
        <v>0</v>
      </c>
      <c r="G12" s="92"/>
      <c r="H12" s="92"/>
      <c r="I12" s="161"/>
      <c r="J12" s="91"/>
      <c r="K12" s="90"/>
    </row>
    <row r="13" spans="1:11" ht="18.75">
      <c r="A13" s="85" t="s">
        <v>239</v>
      </c>
      <c r="B13" s="85" t="s">
        <v>10</v>
      </c>
      <c r="C13" s="85">
        <v>1</v>
      </c>
      <c r="D13" s="89">
        <v>23540.625</v>
      </c>
      <c r="E13" s="89">
        <f t="shared" si="0"/>
        <v>23540.625</v>
      </c>
      <c r="G13" s="92"/>
      <c r="H13" s="92"/>
      <c r="I13" s="161"/>
      <c r="J13" s="92">
        <f>E13</f>
        <v>23540.625</v>
      </c>
    </row>
    <row r="14" spans="1:11" ht="18.75">
      <c r="A14" s="310" t="s">
        <v>109</v>
      </c>
      <c r="B14" s="311"/>
      <c r="C14" s="311"/>
      <c r="D14" s="311"/>
      <c r="E14" s="95">
        <f>SUM(E6:E13)</f>
        <v>351848.625</v>
      </c>
      <c r="G14" s="92"/>
      <c r="H14" s="92"/>
      <c r="I14" s="161"/>
      <c r="J14" s="91"/>
      <c r="K14" s="57"/>
    </row>
    <row r="15" spans="1:11" ht="18.75">
      <c r="A15" s="306" t="s">
        <v>240</v>
      </c>
      <c r="B15" s="307"/>
      <c r="C15" s="307"/>
      <c r="D15" s="307"/>
      <c r="E15" s="308"/>
      <c r="G15" s="92"/>
      <c r="I15" s="161"/>
      <c r="J15" s="91"/>
    </row>
    <row r="16" spans="1:11" ht="18.75">
      <c r="A16" s="85" t="s">
        <v>241</v>
      </c>
      <c r="B16" s="85" t="s">
        <v>10</v>
      </c>
      <c r="C16" s="85">
        <v>13</v>
      </c>
      <c r="D16" s="86">
        <v>100</v>
      </c>
      <c r="E16" s="86">
        <f>D16*C16</f>
        <v>1300</v>
      </c>
      <c r="G16" s="92"/>
      <c r="H16" s="92">
        <f>E16</f>
        <v>1300</v>
      </c>
      <c r="I16" s="161"/>
      <c r="J16" s="91"/>
    </row>
    <row r="17" spans="1:10" ht="18.75">
      <c r="A17" s="85" t="s">
        <v>96</v>
      </c>
      <c r="B17" s="85" t="s">
        <v>10</v>
      </c>
      <c r="C17" s="85">
        <v>1</v>
      </c>
      <c r="D17" s="86">
        <v>120</v>
      </c>
      <c r="E17" s="86">
        <f t="shared" ref="E17:E20" si="1">D17*C17</f>
        <v>120</v>
      </c>
      <c r="G17" s="92"/>
      <c r="H17" s="92">
        <f>E17</f>
        <v>120</v>
      </c>
      <c r="I17" s="161"/>
      <c r="J17" s="91"/>
    </row>
    <row r="18" spans="1:10" ht="18.75">
      <c r="A18" s="85" t="s">
        <v>242</v>
      </c>
      <c r="B18" s="85" t="s">
        <v>10</v>
      </c>
      <c r="C18" s="85">
        <v>1</v>
      </c>
      <c r="D18" s="89">
        <v>0</v>
      </c>
      <c r="E18" s="89">
        <f t="shared" si="1"/>
        <v>0</v>
      </c>
      <c r="G18" s="92"/>
      <c r="I18" s="161"/>
      <c r="J18" s="91"/>
    </row>
    <row r="19" spans="1:10" ht="18.75">
      <c r="A19" s="85" t="s">
        <v>72</v>
      </c>
      <c r="B19" s="85" t="s">
        <v>10</v>
      </c>
      <c r="C19" s="85">
        <v>1</v>
      </c>
      <c r="D19" s="89">
        <v>24</v>
      </c>
      <c r="E19" s="89">
        <f t="shared" si="1"/>
        <v>24</v>
      </c>
      <c r="G19" s="92"/>
      <c r="H19" s="92">
        <f>E19</f>
        <v>24</v>
      </c>
      <c r="I19" s="161"/>
      <c r="J19" s="91"/>
    </row>
    <row r="20" spans="1:10" ht="18.75">
      <c r="A20" s="85" t="s">
        <v>75</v>
      </c>
      <c r="B20" s="85" t="s">
        <v>10</v>
      </c>
      <c r="C20" s="85">
        <v>1</v>
      </c>
      <c r="D20" s="89">
        <v>376.99</v>
      </c>
      <c r="E20" s="89">
        <f t="shared" si="1"/>
        <v>376.99</v>
      </c>
      <c r="G20" s="92"/>
      <c r="H20" s="92">
        <f>E20</f>
        <v>376.99</v>
      </c>
      <c r="I20" s="161"/>
      <c r="J20" s="91"/>
    </row>
    <row r="21" spans="1:10" ht="18.75">
      <c r="A21" s="85"/>
      <c r="B21" s="85"/>
      <c r="C21" s="85"/>
      <c r="D21" s="85"/>
      <c r="E21" s="85"/>
      <c r="G21" s="92"/>
      <c r="H21" s="92"/>
      <c r="I21" s="161"/>
      <c r="J21" s="91"/>
    </row>
    <row r="22" spans="1:10" ht="18.75">
      <c r="A22" s="310" t="s">
        <v>109</v>
      </c>
      <c r="B22" s="311"/>
      <c r="C22" s="311"/>
      <c r="D22" s="311"/>
      <c r="E22" s="94">
        <f>SUM(E16:E20)</f>
        <v>1820.99</v>
      </c>
      <c r="G22" s="92"/>
      <c r="H22" s="92"/>
      <c r="I22" s="161"/>
      <c r="J22" s="91"/>
    </row>
    <row r="23" spans="1:10" ht="18.75">
      <c r="A23" s="306" t="s">
        <v>243</v>
      </c>
      <c r="B23" s="307"/>
      <c r="C23" s="307"/>
      <c r="D23" s="307"/>
      <c r="E23" s="308"/>
      <c r="G23" s="92"/>
      <c r="H23" s="92"/>
      <c r="I23" s="161"/>
      <c r="J23" s="91"/>
    </row>
    <row r="24" spans="1:10" ht="18.75">
      <c r="A24" s="101" t="s">
        <v>243</v>
      </c>
      <c r="B24" s="85" t="s">
        <v>10</v>
      </c>
      <c r="C24" s="85">
        <v>1</v>
      </c>
      <c r="D24" s="89">
        <f>'2.Gastos'!F8</f>
        <v>842340</v>
      </c>
      <c r="E24" s="89">
        <f>'2.Gastos'!F8</f>
        <v>842340</v>
      </c>
      <c r="G24" s="92">
        <f>E24/2</f>
        <v>421170</v>
      </c>
      <c r="H24" s="92"/>
      <c r="I24" s="161"/>
      <c r="J24" s="157">
        <f>E24/2</f>
        <v>421170</v>
      </c>
    </row>
    <row r="25" spans="1:10" ht="18.75">
      <c r="A25" s="85" t="s">
        <v>50</v>
      </c>
      <c r="B25" s="85" t="s">
        <v>10</v>
      </c>
      <c r="C25" s="85">
        <v>1</v>
      </c>
      <c r="D25" s="89">
        <v>1209</v>
      </c>
      <c r="E25" s="89">
        <f t="shared" ref="E25:E26" si="2">C25*D25</f>
        <v>1209</v>
      </c>
      <c r="G25" s="92"/>
      <c r="H25" s="92">
        <f>E25</f>
        <v>1209</v>
      </c>
      <c r="I25" s="161"/>
      <c r="J25" s="91"/>
    </row>
    <row r="26" spans="1:10" ht="18.75">
      <c r="A26" s="85" t="s">
        <v>129</v>
      </c>
      <c r="B26" s="85" t="s">
        <v>10</v>
      </c>
      <c r="C26" s="85">
        <v>1</v>
      </c>
      <c r="D26" s="89">
        <v>145100</v>
      </c>
      <c r="E26" s="89">
        <f t="shared" si="2"/>
        <v>145100</v>
      </c>
      <c r="G26" s="98">
        <f>E26</f>
        <v>145100</v>
      </c>
      <c r="H26" s="98"/>
      <c r="I26" s="98"/>
      <c r="J26" s="98"/>
    </row>
    <row r="27" spans="1:10" ht="18">
      <c r="A27" s="300" t="s">
        <v>109</v>
      </c>
      <c r="B27" s="301"/>
      <c r="C27" s="301"/>
      <c r="D27" s="302"/>
      <c r="E27" s="93">
        <f>SUM(E24:E26)</f>
        <v>988649</v>
      </c>
      <c r="G27" s="99">
        <f>SUM(G6:G26)</f>
        <v>598270</v>
      </c>
      <c r="H27" s="99">
        <f>SUM(H6:H26)</f>
        <v>299337.99</v>
      </c>
      <c r="I27" s="199">
        <f>SUM(I6:I25)</f>
        <v>0</v>
      </c>
      <c r="J27" s="164">
        <f>SUM(J6:J26)</f>
        <v>444710.625</v>
      </c>
    </row>
    <row r="28" spans="1:10" ht="18.75">
      <c r="A28" s="303" t="s">
        <v>244</v>
      </c>
      <c r="B28" s="303"/>
      <c r="C28" s="303"/>
      <c r="D28" s="303"/>
      <c r="E28" s="100">
        <f>SUM(E14+E22+E27)</f>
        <v>1342318.615</v>
      </c>
      <c r="G28" s="165" t="s">
        <v>245</v>
      </c>
      <c r="H28" s="161"/>
      <c r="I28" s="161"/>
      <c r="J28" s="161"/>
    </row>
    <row r="30" spans="1:10">
      <c r="A30" s="190" t="s">
        <v>246</v>
      </c>
    </row>
    <row r="31" spans="1:10">
      <c r="F31" s="299" t="s">
        <v>247</v>
      </c>
      <c r="G31" s="299"/>
    </row>
    <row r="32" spans="1:10">
      <c r="F32" s="298" t="s">
        <v>248</v>
      </c>
      <c r="G32" s="298"/>
    </row>
  </sheetData>
  <mergeCells count="12">
    <mergeCell ref="F32:G32"/>
    <mergeCell ref="F31:G31"/>
    <mergeCell ref="A27:D27"/>
    <mergeCell ref="A28:D28"/>
    <mergeCell ref="A1:J1"/>
    <mergeCell ref="A4:E4"/>
    <mergeCell ref="A5:E5"/>
    <mergeCell ref="A15:E15"/>
    <mergeCell ref="A23:E23"/>
    <mergeCell ref="G3:J3"/>
    <mergeCell ref="A14:D14"/>
    <mergeCell ref="A22:D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FDBF-205D-4829-B30F-88FB9CB352F0}">
  <dimension ref="A2:J11"/>
  <sheetViews>
    <sheetView tabSelected="1" zoomScale="80" zoomScaleNormal="80" workbookViewId="0">
      <selection activeCell="J3" sqref="J3"/>
    </sheetView>
  </sheetViews>
  <sheetFormatPr defaultColWidth="11.42578125" defaultRowHeight="15"/>
  <cols>
    <col min="2" max="2" width="28.140625" customWidth="1"/>
    <col min="3" max="3" width="17.85546875" customWidth="1"/>
    <col min="4" max="4" width="18.7109375" customWidth="1"/>
    <col min="5" max="5" width="27" customWidth="1"/>
    <col min="6" max="6" width="17.7109375" customWidth="1"/>
    <col min="7" max="7" width="18.28515625" customWidth="1"/>
    <col min="9" max="9" width="20.7109375" customWidth="1"/>
    <col min="10" max="10" width="17.140625" customWidth="1"/>
  </cols>
  <sheetData>
    <row r="2" spans="1:10" ht="51" customHeight="1">
      <c r="A2" s="87" t="s">
        <v>249</v>
      </c>
      <c r="B2" s="87" t="s">
        <v>250</v>
      </c>
      <c r="C2" s="87" t="s">
        <v>251</v>
      </c>
      <c r="D2" s="87" t="s">
        <v>252</v>
      </c>
      <c r="E2" s="87" t="s">
        <v>253</v>
      </c>
      <c r="F2" s="87" t="s">
        <v>254</v>
      </c>
      <c r="G2" s="87" t="s">
        <v>255</v>
      </c>
      <c r="H2" s="88"/>
      <c r="I2" s="43"/>
      <c r="J2" s="43"/>
    </row>
    <row r="3" spans="1:10" ht="15.75">
      <c r="A3" s="106" t="s">
        <v>256</v>
      </c>
      <c r="B3" s="107" t="s">
        <v>231</v>
      </c>
      <c r="C3" s="108">
        <v>46308</v>
      </c>
      <c r="D3" s="109">
        <v>0</v>
      </c>
      <c r="E3" s="109">
        <f>C3-D3</f>
        <v>46308</v>
      </c>
      <c r="F3" s="110">
        <v>0.1</v>
      </c>
      <c r="G3" s="109">
        <f>E3*F3</f>
        <v>4630.8</v>
      </c>
      <c r="H3" s="43"/>
      <c r="I3" s="107" t="s">
        <v>257</v>
      </c>
      <c r="J3" s="109" cm="1">
        <f t="array" ref="J3">SUM(G3+G7:G8+G10:G11)</f>
        <v>41624.523000000001</v>
      </c>
    </row>
    <row r="4" spans="1:10" ht="15.75">
      <c r="A4" s="102" t="s">
        <v>258</v>
      </c>
      <c r="B4" s="103" t="s">
        <v>259</v>
      </c>
      <c r="C4" s="104">
        <v>10000</v>
      </c>
      <c r="D4" s="104">
        <v>4000</v>
      </c>
      <c r="E4" s="104">
        <f t="shared" ref="E4:E11" si="0">C4-D4</f>
        <v>6000</v>
      </c>
      <c r="F4" s="105">
        <v>0.1</v>
      </c>
      <c r="G4" s="104">
        <f t="shared" ref="G4:G11" si="1">E4*F4</f>
        <v>600</v>
      </c>
      <c r="H4" s="43"/>
      <c r="I4" s="103" t="s">
        <v>260</v>
      </c>
      <c r="J4" s="104" cm="1">
        <f t="array" ref="J4">SUM(G4:G6+G9)</f>
        <v>56350</v>
      </c>
    </row>
    <row r="5" spans="1:10" ht="15.75">
      <c r="A5" s="102" t="s">
        <v>258</v>
      </c>
      <c r="B5" s="103" t="s">
        <v>261</v>
      </c>
      <c r="C5" s="104">
        <v>10000</v>
      </c>
      <c r="D5" s="104">
        <v>2500</v>
      </c>
      <c r="E5" s="104">
        <f t="shared" si="0"/>
        <v>7500</v>
      </c>
      <c r="F5" s="105">
        <v>0.1</v>
      </c>
      <c r="G5" s="104">
        <f t="shared" si="1"/>
        <v>750</v>
      </c>
      <c r="H5" s="43"/>
      <c r="I5" s="43"/>
      <c r="J5" s="43"/>
    </row>
    <row r="6" spans="1:10" ht="15.75">
      <c r="A6" s="102" t="s">
        <v>258</v>
      </c>
      <c r="B6" s="103" t="s">
        <v>262</v>
      </c>
      <c r="C6" s="104">
        <v>18000</v>
      </c>
      <c r="D6" s="104">
        <v>8000</v>
      </c>
      <c r="E6" s="104">
        <f t="shared" si="0"/>
        <v>10000</v>
      </c>
      <c r="F6" s="105">
        <v>0.1</v>
      </c>
      <c r="G6" s="104">
        <f t="shared" si="1"/>
        <v>1000</v>
      </c>
      <c r="H6" s="43"/>
      <c r="I6" s="43"/>
      <c r="J6" s="43"/>
    </row>
    <row r="7" spans="1:10" ht="15.75">
      <c r="A7" s="106" t="s">
        <v>256</v>
      </c>
      <c r="B7" s="107" t="s">
        <v>263</v>
      </c>
      <c r="C7" s="109">
        <v>0</v>
      </c>
      <c r="D7" s="109">
        <v>0</v>
      </c>
      <c r="E7" s="109">
        <f t="shared" si="0"/>
        <v>0</v>
      </c>
      <c r="F7" s="110">
        <v>0.1</v>
      </c>
      <c r="G7" s="109">
        <f t="shared" si="1"/>
        <v>0</v>
      </c>
      <c r="H7" s="43"/>
      <c r="I7" s="43"/>
      <c r="J7" s="43"/>
    </row>
    <row r="8" spans="1:10" ht="15.75">
      <c r="A8" s="106" t="s">
        <v>256</v>
      </c>
      <c r="B8" s="107" t="s">
        <v>92</v>
      </c>
      <c r="C8" s="109">
        <v>0</v>
      </c>
      <c r="D8" s="109">
        <v>0</v>
      </c>
      <c r="E8" s="109">
        <f t="shared" si="0"/>
        <v>0</v>
      </c>
      <c r="F8" s="110">
        <v>0.1</v>
      </c>
      <c r="G8" s="109">
        <f t="shared" si="1"/>
        <v>0</v>
      </c>
      <c r="H8" s="43"/>
      <c r="I8" s="43"/>
      <c r="J8" s="43"/>
    </row>
    <row r="9" spans="1:10" ht="15.75">
      <c r="A9" s="102" t="s">
        <v>258</v>
      </c>
      <c r="B9" s="103" t="s">
        <v>54</v>
      </c>
      <c r="C9" s="104">
        <v>240000</v>
      </c>
      <c r="D9" s="104">
        <v>60000</v>
      </c>
      <c r="E9" s="104">
        <f t="shared" si="0"/>
        <v>180000</v>
      </c>
      <c r="F9" s="105">
        <v>0.1</v>
      </c>
      <c r="G9" s="104">
        <f t="shared" si="1"/>
        <v>18000</v>
      </c>
      <c r="H9" s="43"/>
      <c r="I9" s="43"/>
      <c r="J9" s="43"/>
    </row>
    <row r="10" spans="1:10" ht="15.75">
      <c r="A10" s="106" t="s">
        <v>256</v>
      </c>
      <c r="B10" s="107" t="s">
        <v>239</v>
      </c>
      <c r="C10" s="109">
        <v>23540.23</v>
      </c>
      <c r="D10" s="109">
        <v>0</v>
      </c>
      <c r="E10" s="109">
        <f t="shared" si="0"/>
        <v>23540.23</v>
      </c>
      <c r="F10" s="110">
        <v>0.1</v>
      </c>
      <c r="G10" s="109">
        <f t="shared" si="1"/>
        <v>2354.0230000000001</v>
      </c>
      <c r="H10" s="43"/>
      <c r="I10" s="43"/>
      <c r="J10" s="43"/>
    </row>
    <row r="11" spans="1:10" ht="15.75">
      <c r="A11" s="106" t="s">
        <v>256</v>
      </c>
      <c r="B11" s="107" t="s">
        <v>264</v>
      </c>
      <c r="C11" s="109">
        <v>300089</v>
      </c>
      <c r="D11" s="109">
        <v>0</v>
      </c>
      <c r="E11" s="109">
        <f t="shared" si="0"/>
        <v>300089</v>
      </c>
      <c r="F11" s="110">
        <v>0.1</v>
      </c>
      <c r="G11" s="109">
        <f t="shared" si="1"/>
        <v>30008.9</v>
      </c>
      <c r="H11" s="43"/>
      <c r="I11" s="43"/>
      <c r="J11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9832-983E-4007-905C-D74CD180A06A}">
  <dimension ref="A1:AA49"/>
  <sheetViews>
    <sheetView topLeftCell="A33" zoomScaleNormal="100" workbookViewId="0">
      <selection activeCell="B39" sqref="B39"/>
    </sheetView>
  </sheetViews>
  <sheetFormatPr defaultColWidth="9.140625" defaultRowHeight="15"/>
  <cols>
    <col min="1" max="1" width="24.140625" customWidth="1"/>
    <col min="2" max="2" width="21.140625" customWidth="1"/>
    <col min="3" max="3" width="16.140625" customWidth="1"/>
    <col min="4" max="4" width="15.7109375" customWidth="1"/>
    <col min="5" max="5" width="18.7109375" customWidth="1"/>
    <col min="6" max="6" width="19.7109375" customWidth="1"/>
    <col min="7" max="7" width="15" customWidth="1"/>
    <col min="8" max="8" width="17" customWidth="1"/>
    <col min="9" max="9" width="18.28515625" customWidth="1"/>
    <col min="10" max="10" width="15.85546875" customWidth="1"/>
    <col min="11" max="11" width="16.140625" customWidth="1"/>
    <col min="12" max="12" width="15.5703125" customWidth="1"/>
    <col min="13" max="13" width="15.42578125" customWidth="1"/>
    <col min="14" max="14" width="15.28515625" customWidth="1"/>
    <col min="15" max="15" width="22.85546875" customWidth="1"/>
    <col min="16" max="16" width="23.28515625" customWidth="1"/>
    <col min="17" max="17" width="16.140625" customWidth="1"/>
    <col min="18" max="18" width="15.5703125" customWidth="1"/>
    <col min="19" max="19" width="18.28515625" customWidth="1"/>
    <col min="20" max="20" width="26.42578125" customWidth="1"/>
    <col min="21" max="21" width="18.28515625" customWidth="1"/>
    <col min="23" max="23" width="28.140625" customWidth="1"/>
    <col min="24" max="24" width="27.7109375" customWidth="1"/>
    <col min="27" max="27" width="28.28515625" customWidth="1"/>
  </cols>
  <sheetData>
    <row r="1" spans="1:21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</row>
    <row r="2" spans="1:21" ht="30.75">
      <c r="A2" s="114"/>
      <c r="B2" s="318" t="s">
        <v>265</v>
      </c>
      <c r="C2" s="318"/>
      <c r="D2" s="318"/>
      <c r="E2" s="318"/>
      <c r="F2" s="318"/>
      <c r="G2" s="318"/>
      <c r="H2" s="318"/>
      <c r="J2" s="206" t="s">
        <v>257</v>
      </c>
      <c r="K2" s="128">
        <f>'6.Activos Depreciación y Amorti'!J3</f>
        <v>41624.523000000001</v>
      </c>
      <c r="L2" s="114"/>
      <c r="M2" s="114"/>
      <c r="N2" s="114"/>
      <c r="P2" s="330" t="s">
        <v>266</v>
      </c>
      <c r="Q2" s="331"/>
      <c r="R2" s="331"/>
      <c r="S2" s="331"/>
      <c r="T2" s="331"/>
    </row>
    <row r="3" spans="1:21" ht="45" customHeight="1">
      <c r="A3" s="114"/>
      <c r="B3" s="214" t="s">
        <v>267</v>
      </c>
      <c r="C3" s="215" t="s">
        <v>268</v>
      </c>
      <c r="D3" s="216" t="s">
        <v>269</v>
      </c>
      <c r="E3" s="166" t="s">
        <v>270</v>
      </c>
      <c r="F3" s="217" t="s">
        <v>271</v>
      </c>
      <c r="G3" s="218" t="s">
        <v>272</v>
      </c>
      <c r="H3" s="219" t="s">
        <v>273</v>
      </c>
      <c r="J3" s="207" t="s">
        <v>260</v>
      </c>
      <c r="K3" s="129">
        <f>'6.Activos Depreciación y Amorti'!J4</f>
        <v>56350</v>
      </c>
      <c r="L3" s="114"/>
      <c r="M3" s="114"/>
      <c r="N3" s="114"/>
      <c r="P3" s="265" t="s">
        <v>267</v>
      </c>
      <c r="Q3" s="154" t="s">
        <v>274</v>
      </c>
      <c r="R3" s="153" t="s">
        <v>269</v>
      </c>
      <c r="S3" s="154" t="s">
        <v>275</v>
      </c>
      <c r="T3" s="182" t="s">
        <v>276</v>
      </c>
    </row>
    <row r="4" spans="1:21">
      <c r="A4" s="114"/>
      <c r="B4" s="155">
        <f>'5.Activos &amp; Plan de Inversión'!H27</f>
        <v>299337.99</v>
      </c>
      <c r="C4" s="172">
        <v>0.17</v>
      </c>
      <c r="D4" s="167">
        <v>5</v>
      </c>
      <c r="E4" s="168">
        <f>12*D4</f>
        <v>60</v>
      </c>
      <c r="F4" s="169">
        <f>G4/E4</f>
        <v>4240.6215250000005</v>
      </c>
      <c r="G4" s="170">
        <f>B4*(D4*(C4))</f>
        <v>254437.29150000002</v>
      </c>
      <c r="H4" s="171">
        <f>B4/E4</f>
        <v>4988.9664999999995</v>
      </c>
      <c r="I4" s="114"/>
      <c r="J4" s="114"/>
      <c r="K4" s="114"/>
      <c r="L4" s="114"/>
      <c r="M4" s="114"/>
      <c r="N4" s="114"/>
      <c r="P4" s="264">
        <f>'5.Activos &amp; Plan de Inversión'!H27</f>
        <v>299337.99</v>
      </c>
      <c r="Q4" s="173">
        <v>0.17</v>
      </c>
      <c r="R4" s="174">
        <v>5</v>
      </c>
      <c r="S4" s="175">
        <f>P4/R4</f>
        <v>59867.597999999998</v>
      </c>
      <c r="T4" s="183">
        <f>SUM(Q19:U20)</f>
        <v>644440.8151025183</v>
      </c>
    </row>
    <row r="5" spans="1:21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</row>
    <row r="6" spans="1:21" ht="23.25">
      <c r="A6" s="323" t="s">
        <v>277</v>
      </c>
      <c r="B6" s="324"/>
      <c r="C6" s="324"/>
      <c r="D6" s="324"/>
      <c r="E6" s="324"/>
      <c r="F6" s="324"/>
      <c r="G6" s="324"/>
      <c r="H6" s="324"/>
      <c r="I6" s="324"/>
      <c r="J6" s="324"/>
      <c r="K6" s="324"/>
      <c r="L6" s="324"/>
      <c r="M6" s="324"/>
      <c r="N6" s="325"/>
      <c r="P6" s="315" t="s">
        <v>278</v>
      </c>
      <c r="Q6" s="316"/>
      <c r="R6" s="316"/>
      <c r="S6" s="316"/>
      <c r="T6" s="316"/>
      <c r="U6" s="317"/>
    </row>
    <row r="7" spans="1:21">
      <c r="A7" s="115" t="s">
        <v>279</v>
      </c>
      <c r="B7" s="116" t="s">
        <v>280</v>
      </c>
      <c r="C7" s="116" t="s">
        <v>281</v>
      </c>
      <c r="D7" s="116" t="s">
        <v>282</v>
      </c>
      <c r="E7" s="116" t="s">
        <v>283</v>
      </c>
      <c r="F7" s="116" t="s">
        <v>284</v>
      </c>
      <c r="G7" s="116" t="s">
        <v>285</v>
      </c>
      <c r="H7" s="117" t="s">
        <v>286</v>
      </c>
      <c r="I7" s="116" t="s">
        <v>287</v>
      </c>
      <c r="J7" s="116" t="s">
        <v>288</v>
      </c>
      <c r="K7" s="116" t="s">
        <v>289</v>
      </c>
      <c r="L7" s="116" t="s">
        <v>290</v>
      </c>
      <c r="M7" s="116" t="s">
        <v>291</v>
      </c>
      <c r="N7" s="118" t="s">
        <v>292</v>
      </c>
      <c r="P7" s="249" t="s">
        <v>279</v>
      </c>
      <c r="Q7" s="250" t="s">
        <v>293</v>
      </c>
      <c r="R7" s="250" t="s">
        <v>294</v>
      </c>
      <c r="S7" s="250" t="s">
        <v>295</v>
      </c>
      <c r="T7" s="250" t="s">
        <v>296</v>
      </c>
      <c r="U7" s="250" t="s">
        <v>297</v>
      </c>
    </row>
    <row r="8" spans="1:21">
      <c r="A8" s="124" t="s">
        <v>298</v>
      </c>
      <c r="B8" s="136">
        <v>0</v>
      </c>
      <c r="C8" s="136">
        <f>B35*$X$34</f>
        <v>1260131.9039999999</v>
      </c>
      <c r="D8" s="136">
        <f>C35*$X$34</f>
        <v>1238383.98</v>
      </c>
      <c r="E8" s="136">
        <f>D35*$X$34</f>
        <v>1584117.588</v>
      </c>
      <c r="F8" s="136">
        <f>E35*$X$34</f>
        <v>1672748.412</v>
      </c>
      <c r="G8" s="136">
        <f>F35*$X$34</f>
        <v>1521995.64</v>
      </c>
      <c r="H8" s="136">
        <f>G35*$X$34</f>
        <v>1456358.1240000001</v>
      </c>
      <c r="I8" s="136">
        <f>H35*$X$34</f>
        <v>1763432.436</v>
      </c>
      <c r="J8" s="136">
        <f>I35*$X$34</f>
        <v>1778097.564</v>
      </c>
      <c r="K8" s="136">
        <f>J35*$X$34</f>
        <v>1616993.2200000002</v>
      </c>
      <c r="L8" s="136">
        <f>K35*$X$34</f>
        <v>1744430.148</v>
      </c>
      <c r="M8" s="136">
        <f>L35*$X$34</f>
        <v>1695966.1919999998</v>
      </c>
      <c r="N8" s="276">
        <f>M35*$X$34</f>
        <v>1740092.4240000001</v>
      </c>
      <c r="P8" s="224" t="s">
        <v>298</v>
      </c>
      <c r="Q8" s="223">
        <f>SUM(B8:N8)</f>
        <v>19072747.631999999</v>
      </c>
      <c r="R8" s="223">
        <f>(N8*12)</f>
        <v>20881109.088</v>
      </c>
      <c r="S8" s="223">
        <f>R8</f>
        <v>20881109.088</v>
      </c>
      <c r="T8" s="223">
        <f>S8</f>
        <v>20881109.088</v>
      </c>
      <c r="U8" s="223">
        <f>T8</f>
        <v>20881109.088</v>
      </c>
    </row>
    <row r="9" spans="1:21">
      <c r="A9" s="200" t="s">
        <v>299</v>
      </c>
      <c r="B9" s="137">
        <f>'5.Activos &amp; Plan de Inversión'!H27</f>
        <v>299337.99</v>
      </c>
      <c r="C9" s="137">
        <v>0</v>
      </c>
      <c r="D9" s="137">
        <v>0</v>
      </c>
      <c r="E9" s="137">
        <v>0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P9" s="225" t="str">
        <f t="shared" ref="P9:Q12" si="0">A9</f>
        <v>Prestamo gubernamental</v>
      </c>
      <c r="Q9" s="223">
        <f t="shared" ref="Q9:Q14" si="1">SUM(B9:N9)</f>
        <v>299337.99</v>
      </c>
      <c r="R9" s="223">
        <f t="shared" ref="R9:R14" si="2">(N9*12)</f>
        <v>0</v>
      </c>
      <c r="S9" s="223">
        <f t="shared" ref="S9:T22" si="3">R9</f>
        <v>0</v>
      </c>
      <c r="T9" s="223">
        <f t="shared" si="3"/>
        <v>0</v>
      </c>
      <c r="U9" s="223">
        <f t="shared" ref="U9:U14" si="4">T9</f>
        <v>0</v>
      </c>
    </row>
    <row r="10" spans="1:21">
      <c r="A10" s="201" t="s">
        <v>300</v>
      </c>
      <c r="B10" s="254">
        <v>0</v>
      </c>
      <c r="C10" s="137">
        <v>0</v>
      </c>
      <c r="D10" s="137">
        <v>0</v>
      </c>
      <c r="E10" s="137">
        <v>0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P10" s="225" t="str">
        <f t="shared" si="0"/>
        <v>Pestamo bancario</v>
      </c>
      <c r="Q10" s="223">
        <f t="shared" si="1"/>
        <v>0</v>
      </c>
      <c r="R10" s="223">
        <f t="shared" si="2"/>
        <v>0</v>
      </c>
      <c r="S10" s="223">
        <f t="shared" si="3"/>
        <v>0</v>
      </c>
      <c r="T10" s="223">
        <f t="shared" si="3"/>
        <v>0</v>
      </c>
      <c r="U10" s="223">
        <f t="shared" si="4"/>
        <v>0</v>
      </c>
    </row>
    <row r="11" spans="1:21">
      <c r="A11" s="201" t="s">
        <v>301</v>
      </c>
      <c r="B11" s="254">
        <f>'5.Activos &amp; Plan de Inversión'!G27</f>
        <v>598270</v>
      </c>
      <c r="C11" s="137">
        <v>0</v>
      </c>
      <c r="D11" s="137">
        <v>0</v>
      </c>
      <c r="E11" s="137">
        <v>0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P11" s="225"/>
      <c r="Q11" s="223">
        <f t="shared" si="1"/>
        <v>598270</v>
      </c>
      <c r="R11" s="223">
        <f t="shared" si="2"/>
        <v>0</v>
      </c>
      <c r="S11" s="223">
        <f t="shared" si="3"/>
        <v>0</v>
      </c>
      <c r="T11" s="223">
        <f t="shared" si="3"/>
        <v>0</v>
      </c>
      <c r="U11" s="223">
        <f t="shared" si="4"/>
        <v>0</v>
      </c>
    </row>
    <row r="12" spans="1:21">
      <c r="A12" s="200" t="s">
        <v>229</v>
      </c>
      <c r="B12" s="137">
        <f>'5.Activos &amp; Plan de Inversión'!J27</f>
        <v>444710.625</v>
      </c>
      <c r="C12" s="137">
        <v>0</v>
      </c>
      <c r="D12" s="137">
        <v>0</v>
      </c>
      <c r="E12" s="137">
        <v>0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P12" s="225" t="str">
        <f t="shared" si="0"/>
        <v>Prestamo Familiar</v>
      </c>
      <c r="Q12" s="223">
        <f t="shared" si="1"/>
        <v>444710.625</v>
      </c>
      <c r="R12" s="223">
        <f t="shared" si="2"/>
        <v>0</v>
      </c>
      <c r="S12" s="223">
        <f t="shared" si="3"/>
        <v>0</v>
      </c>
      <c r="T12" s="223">
        <f t="shared" si="3"/>
        <v>0</v>
      </c>
      <c r="U12" s="223">
        <f t="shared" si="4"/>
        <v>0</v>
      </c>
    </row>
    <row r="13" spans="1:21" ht="45.75">
      <c r="A13" s="202" t="s">
        <v>302</v>
      </c>
      <c r="B13" s="251">
        <v>0</v>
      </c>
      <c r="C13" s="251">
        <v>0</v>
      </c>
      <c r="D13" s="251">
        <v>0</v>
      </c>
      <c r="E13" s="251">
        <v>0</v>
      </c>
      <c r="F13" s="251">
        <v>0</v>
      </c>
      <c r="G13" s="251">
        <v>0</v>
      </c>
      <c r="H13" s="252">
        <v>0</v>
      </c>
      <c r="I13" s="252">
        <v>0</v>
      </c>
      <c r="J13" s="252">
        <v>0</v>
      </c>
      <c r="K13" s="252">
        <v>0</v>
      </c>
      <c r="L13" s="252">
        <v>0</v>
      </c>
      <c r="M13" s="252">
        <v>0</v>
      </c>
      <c r="N13" s="253">
        <v>0</v>
      </c>
      <c r="P13" s="224" t="s">
        <v>302</v>
      </c>
      <c r="Q13" s="223">
        <f t="shared" si="1"/>
        <v>0</v>
      </c>
      <c r="R13" s="223">
        <f t="shared" si="2"/>
        <v>0</v>
      </c>
      <c r="S13" s="223">
        <f t="shared" si="3"/>
        <v>0</v>
      </c>
      <c r="T13" s="223">
        <f t="shared" si="3"/>
        <v>0</v>
      </c>
      <c r="U13" s="223">
        <f t="shared" si="4"/>
        <v>0</v>
      </c>
    </row>
    <row r="14" spans="1:21">
      <c r="A14" s="273" t="s">
        <v>303</v>
      </c>
      <c r="B14" s="274">
        <f>SUM(B8:B13)</f>
        <v>1342318.615</v>
      </c>
      <c r="C14" s="274">
        <f>SUM(C8:C13)</f>
        <v>1260131.9039999999</v>
      </c>
      <c r="D14" s="274">
        <f>SUM(D8:D13)</f>
        <v>1238383.98</v>
      </c>
      <c r="E14" s="274">
        <f>SUM(E8:E13)</f>
        <v>1584117.588</v>
      </c>
      <c r="F14" s="274">
        <f>SUM(F8:F13)</f>
        <v>1672748.412</v>
      </c>
      <c r="G14" s="274">
        <f>SUM(G8:G13)</f>
        <v>1521995.64</v>
      </c>
      <c r="H14" s="274">
        <f>SUM(H8:H13)</f>
        <v>1456358.1240000001</v>
      </c>
      <c r="I14" s="274">
        <f>SUM(I8:I13)</f>
        <v>1763432.436</v>
      </c>
      <c r="J14" s="274">
        <f>SUM(J8:J13)</f>
        <v>1778097.564</v>
      </c>
      <c r="K14" s="274">
        <f>SUM(K8:K13)</f>
        <v>1616993.2200000002</v>
      </c>
      <c r="L14" s="274">
        <f>SUM(L8:L13)</f>
        <v>1744430.148</v>
      </c>
      <c r="M14" s="274">
        <f>SUM(M8:M13)</f>
        <v>1695966.1919999998</v>
      </c>
      <c r="N14" s="275">
        <f>SUM(N8:N13)</f>
        <v>1740092.4240000001</v>
      </c>
      <c r="P14" s="248" t="s">
        <v>303</v>
      </c>
      <c r="Q14" s="245">
        <f t="shared" si="1"/>
        <v>20415066.246999998</v>
      </c>
      <c r="R14" s="245">
        <f t="shared" si="2"/>
        <v>20881109.088</v>
      </c>
      <c r="S14" s="245">
        <f t="shared" si="3"/>
        <v>20881109.088</v>
      </c>
      <c r="T14" s="245">
        <f t="shared" si="3"/>
        <v>20881109.088</v>
      </c>
      <c r="U14" s="245">
        <f t="shared" si="4"/>
        <v>20881109.088</v>
      </c>
    </row>
    <row r="15" spans="1:21">
      <c r="A15" s="258" t="s">
        <v>304</v>
      </c>
      <c r="B15" s="259" t="s">
        <v>305</v>
      </c>
      <c r="C15" s="259" t="s">
        <v>306</v>
      </c>
      <c r="D15" s="259" t="s">
        <v>307</v>
      </c>
      <c r="E15" s="259" t="s">
        <v>308</v>
      </c>
      <c r="F15" s="259" t="s">
        <v>309</v>
      </c>
      <c r="G15" s="259" t="s">
        <v>310</v>
      </c>
      <c r="H15" s="260" t="s">
        <v>311</v>
      </c>
      <c r="I15" s="260" t="s">
        <v>312</v>
      </c>
      <c r="J15" s="260" t="s">
        <v>313</v>
      </c>
      <c r="K15" s="260" t="s">
        <v>314</v>
      </c>
      <c r="L15" s="260" t="s">
        <v>315</v>
      </c>
      <c r="M15" s="260" t="s">
        <v>316</v>
      </c>
      <c r="N15" s="261" t="s">
        <v>317</v>
      </c>
      <c r="O15" s="127"/>
      <c r="P15" s="242" t="s">
        <v>304</v>
      </c>
      <c r="Q15" s="243" t="str">
        <f>Q7</f>
        <v>AÑO 1</v>
      </c>
      <c r="R15" s="243" t="str">
        <f t="shared" ref="R15:U15" si="5">R7</f>
        <v>AÑO 2</v>
      </c>
      <c r="S15" s="243" t="str">
        <f t="shared" si="5"/>
        <v>AÑO 3</v>
      </c>
      <c r="T15" s="243" t="str">
        <f t="shared" si="5"/>
        <v>AÑO 4</v>
      </c>
      <c r="U15" s="243" t="str">
        <f t="shared" si="5"/>
        <v>AÑO 5</v>
      </c>
    </row>
    <row r="16" spans="1:21" ht="18" customHeight="1">
      <c r="A16" s="255" t="s">
        <v>318</v>
      </c>
      <c r="B16" s="256">
        <v>0</v>
      </c>
      <c r="C16" s="256">
        <v>0</v>
      </c>
      <c r="D16" s="256">
        <v>0</v>
      </c>
      <c r="E16" s="256">
        <v>0</v>
      </c>
      <c r="F16" s="256">
        <v>0</v>
      </c>
      <c r="G16" s="256">
        <v>0</v>
      </c>
      <c r="H16" s="256">
        <v>0</v>
      </c>
      <c r="I16" s="256">
        <v>0</v>
      </c>
      <c r="J16" s="256">
        <v>0</v>
      </c>
      <c r="K16" s="256">
        <v>0</v>
      </c>
      <c r="L16" s="256">
        <v>0</v>
      </c>
      <c r="M16" s="256">
        <v>0</v>
      </c>
      <c r="N16" s="256">
        <v>0</v>
      </c>
      <c r="P16" s="226" t="s">
        <v>318</v>
      </c>
      <c r="Q16" s="223">
        <f>SUM(B16:N16)</f>
        <v>0</v>
      </c>
      <c r="R16" s="223">
        <f t="shared" ref="R16:R25" si="6">(N16*12)</f>
        <v>0</v>
      </c>
      <c r="S16" s="223">
        <f t="shared" si="3"/>
        <v>0</v>
      </c>
      <c r="T16" s="223">
        <f t="shared" si="3"/>
        <v>0</v>
      </c>
      <c r="U16" s="223">
        <f>T16</f>
        <v>0</v>
      </c>
    </row>
    <row r="17" spans="1:27" ht="29.25" customHeight="1">
      <c r="A17" s="255" t="s">
        <v>319</v>
      </c>
      <c r="B17" s="257">
        <f>'5.Activos &amp; Plan de Inversión'!E28</f>
        <v>1342318.615</v>
      </c>
      <c r="C17" s="256">
        <v>0</v>
      </c>
      <c r="D17" s="256">
        <v>0</v>
      </c>
      <c r="E17" s="256">
        <v>0</v>
      </c>
      <c r="F17" s="256">
        <v>0</v>
      </c>
      <c r="G17" s="256">
        <v>0</v>
      </c>
      <c r="H17" s="256">
        <v>0</v>
      </c>
      <c r="I17" s="256">
        <v>0</v>
      </c>
      <c r="J17" s="256">
        <v>0</v>
      </c>
      <c r="K17" s="256">
        <v>0</v>
      </c>
      <c r="L17" s="256">
        <v>0</v>
      </c>
      <c r="M17" s="256">
        <v>0</v>
      </c>
      <c r="N17" s="256">
        <v>0</v>
      </c>
      <c r="P17" s="224" t="s">
        <v>320</v>
      </c>
      <c r="Q17" s="223">
        <f t="shared" ref="Q17:Q25" si="7">SUM(B17:N17)</f>
        <v>1342318.615</v>
      </c>
      <c r="R17" s="223">
        <f t="shared" si="6"/>
        <v>0</v>
      </c>
      <c r="S17" s="223">
        <f t="shared" si="3"/>
        <v>0</v>
      </c>
      <c r="T17" s="223">
        <f t="shared" si="3"/>
        <v>0</v>
      </c>
      <c r="U17" s="223">
        <f t="shared" ref="U17:U25" si="8">T17</f>
        <v>0</v>
      </c>
    </row>
    <row r="18" spans="1:27">
      <c r="A18" s="255" t="s">
        <v>129</v>
      </c>
      <c r="B18" s="257">
        <v>0</v>
      </c>
      <c r="C18" s="223">
        <f>'2.Gastos'!$D$38</f>
        <v>145100</v>
      </c>
      <c r="D18" s="223">
        <f>'2.Gastos'!$D$38</f>
        <v>145100</v>
      </c>
      <c r="E18" s="223">
        <f>'2.Gastos'!$D$38</f>
        <v>145100</v>
      </c>
      <c r="F18" s="223">
        <f>'2.Gastos'!$D$38</f>
        <v>145100</v>
      </c>
      <c r="G18" s="223">
        <f>'2.Gastos'!$D$38</f>
        <v>145100</v>
      </c>
      <c r="H18" s="223">
        <f>'2.Gastos'!$D$38</f>
        <v>145100</v>
      </c>
      <c r="I18" s="223">
        <f>'2.Gastos'!$D$38</f>
        <v>145100</v>
      </c>
      <c r="J18" s="223">
        <f>'2.Gastos'!$D$38</f>
        <v>145100</v>
      </c>
      <c r="K18" s="223">
        <f>'2.Gastos'!$D$38</f>
        <v>145100</v>
      </c>
      <c r="L18" s="223">
        <f>'2.Gastos'!$D$38</f>
        <v>145100</v>
      </c>
      <c r="M18" s="223">
        <f>'2.Gastos'!$D$38</f>
        <v>145100</v>
      </c>
      <c r="N18" s="223">
        <f>'2.Gastos'!$D$38</f>
        <v>145100</v>
      </c>
      <c r="P18" s="224" t="s">
        <v>129</v>
      </c>
      <c r="Q18" s="223">
        <f t="shared" si="7"/>
        <v>1741200</v>
      </c>
      <c r="R18" s="223">
        <f t="shared" si="6"/>
        <v>1741200</v>
      </c>
      <c r="S18" s="223">
        <f t="shared" si="3"/>
        <v>1741200</v>
      </c>
      <c r="T18" s="223">
        <f t="shared" si="3"/>
        <v>1741200</v>
      </c>
      <c r="U18" s="223">
        <f t="shared" si="8"/>
        <v>1741200</v>
      </c>
      <c r="W18" s="127" t="s">
        <v>321</v>
      </c>
      <c r="X18" s="158" t="s">
        <v>322</v>
      </c>
      <c r="Y18" s="127"/>
      <c r="Z18" s="178" t="s">
        <v>323</v>
      </c>
      <c r="AA18" s="177">
        <f>NPV(X25,X19,X20:X24)</f>
        <v>28062957.568673681</v>
      </c>
    </row>
    <row r="19" spans="1:27">
      <c r="A19" s="255" t="s">
        <v>324</v>
      </c>
      <c r="B19" s="257">
        <v>0</v>
      </c>
      <c r="C19" s="257">
        <f>$H$4</f>
        <v>4988.9664999999995</v>
      </c>
      <c r="D19" s="257">
        <f t="shared" ref="D19:N19" si="9">$H$4</f>
        <v>4988.9664999999995</v>
      </c>
      <c r="E19" s="257">
        <f t="shared" si="9"/>
        <v>4988.9664999999995</v>
      </c>
      <c r="F19" s="257">
        <f t="shared" si="9"/>
        <v>4988.9664999999995</v>
      </c>
      <c r="G19" s="257">
        <f t="shared" si="9"/>
        <v>4988.9664999999995</v>
      </c>
      <c r="H19" s="257">
        <f t="shared" si="9"/>
        <v>4988.9664999999995</v>
      </c>
      <c r="I19" s="257">
        <f t="shared" si="9"/>
        <v>4988.9664999999995</v>
      </c>
      <c r="J19" s="257">
        <f t="shared" si="9"/>
        <v>4988.9664999999995</v>
      </c>
      <c r="K19" s="257">
        <f t="shared" si="9"/>
        <v>4988.9664999999995</v>
      </c>
      <c r="L19" s="257">
        <f t="shared" si="9"/>
        <v>4988.9664999999995</v>
      </c>
      <c r="M19" s="257">
        <f t="shared" si="9"/>
        <v>4988.9664999999995</v>
      </c>
      <c r="N19" s="257">
        <f t="shared" si="9"/>
        <v>4988.9664999999995</v>
      </c>
      <c r="P19" s="224" t="s">
        <v>324</v>
      </c>
      <c r="Q19" s="223">
        <f>$S$4</f>
        <v>59867.597999999998</v>
      </c>
      <c r="R19" s="223">
        <f>$S$4</f>
        <v>59867.597999999998</v>
      </c>
      <c r="S19" s="223">
        <f>$S$4</f>
        <v>59867.597999999998</v>
      </c>
      <c r="T19" s="223">
        <f>$S$4</f>
        <v>59867.597999999998</v>
      </c>
      <c r="U19" s="223">
        <f>$S$4</f>
        <v>59867.597999999998</v>
      </c>
      <c r="W19" s="127" t="s">
        <v>325</v>
      </c>
      <c r="X19" s="267">
        <f>B17*-1</f>
        <v>-1342318.615</v>
      </c>
      <c r="Z19" s="159"/>
    </row>
    <row r="20" spans="1:27">
      <c r="A20" s="255" t="s">
        <v>326</v>
      </c>
      <c r="B20" s="257">
        <v>0</v>
      </c>
      <c r="C20" s="257">
        <f>B39</f>
        <v>4240.6215250000005</v>
      </c>
      <c r="D20" s="257">
        <f t="shared" ref="D20:N20" si="10">C39</f>
        <v>4240.6215250000005</v>
      </c>
      <c r="E20" s="257">
        <f t="shared" si="10"/>
        <v>4240.6215250000005</v>
      </c>
      <c r="F20" s="257">
        <f t="shared" si="10"/>
        <v>4240.6215250000005</v>
      </c>
      <c r="G20" s="257">
        <f t="shared" si="10"/>
        <v>4240.6215250000005</v>
      </c>
      <c r="H20" s="257">
        <f t="shared" si="10"/>
        <v>4240.6215250000005</v>
      </c>
      <c r="I20" s="257">
        <f t="shared" si="10"/>
        <v>4240.6215250000005</v>
      </c>
      <c r="J20" s="257">
        <f t="shared" si="10"/>
        <v>4240.6215250000005</v>
      </c>
      <c r="K20" s="257">
        <f t="shared" si="10"/>
        <v>4240.6215250000005</v>
      </c>
      <c r="L20" s="257">
        <f t="shared" si="10"/>
        <v>4240.6215250000005</v>
      </c>
      <c r="M20" s="257">
        <f t="shared" si="10"/>
        <v>4240.6215250000005</v>
      </c>
      <c r="N20" s="257">
        <f t="shared" si="10"/>
        <v>4240.6215250000005</v>
      </c>
      <c r="P20" s="244" t="s">
        <v>326</v>
      </c>
      <c r="Q20" s="223">
        <f>P4*Q4</f>
        <v>50887.458300000006</v>
      </c>
      <c r="R20" s="223">
        <f>(Q20+P4)*Q4</f>
        <v>59538.326211</v>
      </c>
      <c r="S20" s="223">
        <f>(Q20+R20+P4)*Q4</f>
        <v>69659.841666870008</v>
      </c>
      <c r="T20" s="223">
        <f>(Q20+R20+S20+P4)*Q4</f>
        <v>81502.014750237911</v>
      </c>
      <c r="U20" s="223">
        <f>(Q20+R20+T20+P4)*Q4</f>
        <v>83515.184174410446</v>
      </c>
      <c r="W20" s="15" t="s">
        <v>327</v>
      </c>
      <c r="X20" s="90">
        <f>Q24</f>
        <v>9984766.0653862506</v>
      </c>
      <c r="Z20" s="178" t="s">
        <v>328</v>
      </c>
      <c r="AA20" s="179">
        <f>IRR(X19:X24,X25)</f>
        <v>7.4820452961078718</v>
      </c>
    </row>
    <row r="21" spans="1:27" ht="30.75">
      <c r="A21" s="262" t="s">
        <v>329</v>
      </c>
      <c r="B21" s="263">
        <f>SUM(B16:B20)</f>
        <v>1342318.615</v>
      </c>
      <c r="C21" s="263">
        <f>SUM(C16,C17:C20)</f>
        <v>154329.588025</v>
      </c>
      <c r="D21" s="263">
        <f t="shared" ref="D21:N21" si="11">SUM(D16,D18:D20)</f>
        <v>154329.588025</v>
      </c>
      <c r="E21" s="263">
        <f t="shared" si="11"/>
        <v>154329.588025</v>
      </c>
      <c r="F21" s="263">
        <f t="shared" si="11"/>
        <v>154329.588025</v>
      </c>
      <c r="G21" s="263">
        <f t="shared" si="11"/>
        <v>154329.588025</v>
      </c>
      <c r="H21" s="263">
        <f t="shared" si="11"/>
        <v>154329.588025</v>
      </c>
      <c r="I21" s="263">
        <f t="shared" si="11"/>
        <v>154329.588025</v>
      </c>
      <c r="J21" s="263">
        <f t="shared" si="11"/>
        <v>154329.588025</v>
      </c>
      <c r="K21" s="263">
        <f t="shared" si="11"/>
        <v>154329.588025</v>
      </c>
      <c r="L21" s="263">
        <f t="shared" si="11"/>
        <v>154329.588025</v>
      </c>
      <c r="M21" s="263">
        <f t="shared" si="11"/>
        <v>154329.588025</v>
      </c>
      <c r="N21" s="263">
        <f t="shared" si="11"/>
        <v>154329.588025</v>
      </c>
      <c r="P21" s="266" t="s">
        <v>329</v>
      </c>
      <c r="Q21" s="245">
        <f>SUM(B21:N21)</f>
        <v>3194273.6712999996</v>
      </c>
      <c r="R21" s="245">
        <f>(N21*12)</f>
        <v>1851955.0563000001</v>
      </c>
      <c r="S21" s="245">
        <f>R21</f>
        <v>1851955.0563000001</v>
      </c>
      <c r="T21" s="245">
        <f>S21</f>
        <v>1851955.0563000001</v>
      </c>
      <c r="U21" s="245">
        <f>T21</f>
        <v>1851955.0563000001</v>
      </c>
      <c r="W21" s="15" t="s">
        <v>330</v>
      </c>
      <c r="X21" s="90">
        <f>R24</f>
        <v>10483182.833685003</v>
      </c>
      <c r="AA21" s="270"/>
    </row>
    <row r="22" spans="1:27" ht="29.25" customHeight="1">
      <c r="A22" s="124" t="s">
        <v>331</v>
      </c>
      <c r="B22" s="136">
        <v>0</v>
      </c>
      <c r="C22" s="136">
        <f>B46</f>
        <v>0</v>
      </c>
      <c r="D22" s="136">
        <f t="shared" ref="D22:N22" si="12">C46</f>
        <v>486395.46670124994</v>
      </c>
      <c r="E22" s="136">
        <f t="shared" si="12"/>
        <v>641975.59030124987</v>
      </c>
      <c r="F22" s="136">
        <f t="shared" si="12"/>
        <v>681859.46110125002</v>
      </c>
      <c r="G22" s="136">
        <f t="shared" si="12"/>
        <v>614020.71370124992</v>
      </c>
      <c r="H22" s="136">
        <f t="shared" si="12"/>
        <v>584483.83150125004</v>
      </c>
      <c r="I22" s="136">
        <f t="shared" si="12"/>
        <v>722667.27190124989</v>
      </c>
      <c r="J22" s="136">
        <f t="shared" si="12"/>
        <v>729266.57950124994</v>
      </c>
      <c r="K22" s="136">
        <f t="shared" si="12"/>
        <v>656769.62470125011</v>
      </c>
      <c r="L22" s="136">
        <f t="shared" si="12"/>
        <v>714116.24230124999</v>
      </c>
      <c r="M22" s="136">
        <f t="shared" si="12"/>
        <v>692307.46210124996</v>
      </c>
      <c r="N22" s="136">
        <f t="shared" si="12"/>
        <v>712164.26650124998</v>
      </c>
      <c r="P22" s="224" t="s">
        <v>331</v>
      </c>
      <c r="Q22" s="223">
        <f>SUM(B22:N22)</f>
        <v>7236026.5103137493</v>
      </c>
      <c r="R22" s="223">
        <f t="shared" si="6"/>
        <v>8545971.1980150007</v>
      </c>
      <c r="S22" s="223">
        <f t="shared" si="3"/>
        <v>8545971.1980150007</v>
      </c>
      <c r="T22" s="223">
        <f t="shared" si="3"/>
        <v>8545971.1980150007</v>
      </c>
      <c r="U22" s="223">
        <f t="shared" si="8"/>
        <v>8545971.1980150007</v>
      </c>
      <c r="W22" s="15" t="s">
        <v>332</v>
      </c>
      <c r="X22" s="90">
        <f>S24</f>
        <v>10483182.833685003</v>
      </c>
    </row>
    <row r="23" spans="1:27" ht="18.75" customHeight="1">
      <c r="A23" s="271" t="s">
        <v>333</v>
      </c>
      <c r="B23" s="272">
        <f>B21-B22</f>
        <v>1342318.615</v>
      </c>
      <c r="C23" s="272">
        <f>SUM(C21+C22)</f>
        <v>154329.588025</v>
      </c>
      <c r="D23" s="272">
        <f t="shared" ref="D23:N23" si="13">SUM(D21+D22)</f>
        <v>640725.05472625</v>
      </c>
      <c r="E23" s="272">
        <f t="shared" si="13"/>
        <v>796305.17832624982</v>
      </c>
      <c r="F23" s="272">
        <f t="shared" si="13"/>
        <v>836189.04912624997</v>
      </c>
      <c r="G23" s="272">
        <f t="shared" si="13"/>
        <v>768350.30172624998</v>
      </c>
      <c r="H23" s="272">
        <f t="shared" si="13"/>
        <v>738813.4195262501</v>
      </c>
      <c r="I23" s="272">
        <f t="shared" si="13"/>
        <v>876996.85992624983</v>
      </c>
      <c r="J23" s="272">
        <f t="shared" si="13"/>
        <v>883596.16752625001</v>
      </c>
      <c r="K23" s="272">
        <f t="shared" si="13"/>
        <v>811099.21272625006</v>
      </c>
      <c r="L23" s="272">
        <f t="shared" si="13"/>
        <v>868445.83032625006</v>
      </c>
      <c r="M23" s="272">
        <f t="shared" si="13"/>
        <v>846637.0501262499</v>
      </c>
      <c r="N23" s="272">
        <f t="shared" si="13"/>
        <v>866493.85452624992</v>
      </c>
      <c r="P23" s="247" t="s">
        <v>333</v>
      </c>
      <c r="Q23" s="245">
        <f t="shared" si="7"/>
        <v>10430300.181613749</v>
      </c>
      <c r="R23" s="245">
        <f t="shared" si="6"/>
        <v>10397926.254315</v>
      </c>
      <c r="S23" s="245">
        <f t="shared" ref="S23:T25" si="14">R23</f>
        <v>10397926.254315</v>
      </c>
      <c r="T23" s="245">
        <f t="shared" si="14"/>
        <v>10397926.254315</v>
      </c>
      <c r="U23" s="245">
        <f t="shared" si="8"/>
        <v>10397926.254315</v>
      </c>
      <c r="W23" s="15" t="s">
        <v>334</v>
      </c>
      <c r="X23" s="90">
        <f>T24</f>
        <v>10483182.833685003</v>
      </c>
      <c r="AA23" s="270"/>
    </row>
    <row r="24" spans="1:27">
      <c r="A24" s="241" t="s">
        <v>335</v>
      </c>
      <c r="B24" s="137">
        <f t="shared" ref="B24:N24" si="15">B14-B23</f>
        <v>0</v>
      </c>
      <c r="C24" s="137">
        <f t="shared" si="15"/>
        <v>1105802.3159749999</v>
      </c>
      <c r="D24" s="137">
        <f t="shared" si="15"/>
        <v>597658.92527374998</v>
      </c>
      <c r="E24" s="137">
        <f t="shared" si="15"/>
        <v>787812.40967375017</v>
      </c>
      <c r="F24" s="137">
        <f t="shared" si="15"/>
        <v>836559.36287375004</v>
      </c>
      <c r="G24" s="137">
        <f t="shared" si="15"/>
        <v>753645.33827374992</v>
      </c>
      <c r="H24" s="137">
        <f t="shared" si="15"/>
        <v>717544.70447374997</v>
      </c>
      <c r="I24" s="137">
        <f t="shared" si="15"/>
        <v>886435.57607375016</v>
      </c>
      <c r="J24" s="137">
        <f t="shared" si="15"/>
        <v>894501.39647375001</v>
      </c>
      <c r="K24" s="137">
        <f t="shared" si="15"/>
        <v>805894.00727375015</v>
      </c>
      <c r="L24" s="137">
        <f t="shared" si="15"/>
        <v>875984.31767374999</v>
      </c>
      <c r="M24" s="137">
        <f t="shared" si="15"/>
        <v>849329.1418737499</v>
      </c>
      <c r="N24" s="138">
        <f t="shared" si="15"/>
        <v>873598.56947375019</v>
      </c>
      <c r="P24" s="227" t="s">
        <v>335</v>
      </c>
      <c r="Q24" s="223">
        <f>SUM(B24:N24)</f>
        <v>9984766.0653862506</v>
      </c>
      <c r="R24" s="223">
        <f t="shared" si="6"/>
        <v>10483182.833685003</v>
      </c>
      <c r="S24" s="223">
        <f t="shared" si="14"/>
        <v>10483182.833685003</v>
      </c>
      <c r="T24" s="223">
        <f t="shared" si="14"/>
        <v>10483182.833685003</v>
      </c>
      <c r="U24" s="223">
        <f t="shared" si="8"/>
        <v>10483182.833685003</v>
      </c>
      <c r="W24" s="15" t="s">
        <v>336</v>
      </c>
      <c r="X24" s="90">
        <f>U24</f>
        <v>10483182.833685003</v>
      </c>
      <c r="AA24" s="270"/>
    </row>
    <row r="25" spans="1:27">
      <c r="A25" s="119" t="s">
        <v>337</v>
      </c>
      <c r="B25" s="139">
        <f>B24</f>
        <v>0</v>
      </c>
      <c r="C25" s="139">
        <f>B25+C24</f>
        <v>1105802.3159749999</v>
      </c>
      <c r="D25" s="139">
        <f t="shared" ref="D25:N25" si="16">C25+D24</f>
        <v>1703461.2412487499</v>
      </c>
      <c r="E25" s="139">
        <f t="shared" si="16"/>
        <v>2491273.6509225001</v>
      </c>
      <c r="F25" s="139">
        <f t="shared" si="16"/>
        <v>3327833.0137962503</v>
      </c>
      <c r="G25" s="139">
        <f t="shared" si="16"/>
        <v>4081478.35207</v>
      </c>
      <c r="H25" s="139">
        <f t="shared" si="16"/>
        <v>4799023.0565437498</v>
      </c>
      <c r="I25" s="139">
        <f t="shared" si="16"/>
        <v>5685458.6326174997</v>
      </c>
      <c r="J25" s="139">
        <f t="shared" si="16"/>
        <v>6579960.0290912502</v>
      </c>
      <c r="K25" s="139">
        <f t="shared" si="16"/>
        <v>7385854.0363650005</v>
      </c>
      <c r="L25" s="139">
        <f t="shared" si="16"/>
        <v>8261838.3540387508</v>
      </c>
      <c r="M25" s="139">
        <f t="shared" si="16"/>
        <v>9111167.4959124997</v>
      </c>
      <c r="N25" s="140">
        <f t="shared" si="16"/>
        <v>9984766.0653862506</v>
      </c>
      <c r="P25" s="246" t="s">
        <v>337</v>
      </c>
      <c r="Q25" s="245">
        <f t="shared" si="7"/>
        <v>64517916.243967503</v>
      </c>
      <c r="R25" s="245">
        <f t="shared" si="6"/>
        <v>119817192.78463501</v>
      </c>
      <c r="S25" s="245">
        <f t="shared" si="14"/>
        <v>119817192.78463501</v>
      </c>
      <c r="T25" s="245">
        <f t="shared" si="14"/>
        <v>119817192.78463501</v>
      </c>
      <c r="U25" s="245">
        <f t="shared" si="8"/>
        <v>119817192.78463501</v>
      </c>
      <c r="W25" s="176" t="s">
        <v>338</v>
      </c>
      <c r="X25" s="268">
        <v>0.16</v>
      </c>
    </row>
    <row r="26" spans="1:27" ht="26.25" customHeight="1">
      <c r="A26" s="120"/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1"/>
    </row>
    <row r="27" spans="1:27" ht="21.75" customHeight="1">
      <c r="A27" s="329" t="s">
        <v>339</v>
      </c>
      <c r="B27" s="329"/>
      <c r="C27" s="329"/>
      <c r="D27" s="329"/>
      <c r="E27" s="329"/>
      <c r="F27" s="329"/>
      <c r="G27" s="329"/>
      <c r="H27" s="329"/>
      <c r="I27" s="329"/>
      <c r="J27" s="329"/>
      <c r="K27" s="329"/>
      <c r="L27" s="329"/>
      <c r="M27" s="329"/>
      <c r="N27" s="122" t="s">
        <v>340</v>
      </c>
      <c r="X27" s="269"/>
      <c r="AA27" s="270"/>
    </row>
    <row r="28" spans="1:27">
      <c r="A28" s="208" t="s">
        <v>341</v>
      </c>
      <c r="B28" s="209">
        <v>50</v>
      </c>
      <c r="C28" s="209">
        <v>50</v>
      </c>
      <c r="D28" s="209">
        <v>50</v>
      </c>
      <c r="E28" s="209">
        <v>50</v>
      </c>
      <c r="F28" s="209">
        <v>50</v>
      </c>
      <c r="G28" s="209">
        <v>50</v>
      </c>
      <c r="H28" s="209">
        <v>50</v>
      </c>
      <c r="I28" s="209">
        <v>50</v>
      </c>
      <c r="J28" s="209">
        <v>50</v>
      </c>
      <c r="K28" s="209">
        <v>50</v>
      </c>
      <c r="L28" s="209">
        <v>50</v>
      </c>
      <c r="M28" s="209">
        <v>50</v>
      </c>
      <c r="N28" s="114"/>
    </row>
    <row r="29" spans="1:27" ht="30.75">
      <c r="A29" s="205" t="s">
        <v>342</v>
      </c>
      <c r="B29" s="204">
        <f>'4.Pronostico de Ventas'!G5</f>
        <v>24950.638079999997</v>
      </c>
      <c r="C29" s="204">
        <f>'4.Pronostico de Ventas'!G6</f>
        <v>24011.679599999999</v>
      </c>
      <c r="D29" s="204">
        <f>'4.Pronostico de Ventas'!G7</f>
        <v>30422.351759999998</v>
      </c>
      <c r="E29" s="204">
        <f>'4.Pronostico de Ventas'!G8</f>
        <v>31690.968239999998</v>
      </c>
      <c r="F29" s="204">
        <f>'4.Pronostico de Ventas'!G9</f>
        <v>28171.912799999998</v>
      </c>
      <c r="G29" s="204">
        <f>'4.Pronostico de Ventas'!G10</f>
        <v>26607.162480000003</v>
      </c>
      <c r="H29" s="204">
        <f>'4.Pronostico de Ventas'!G11</f>
        <v>32748.648720000001</v>
      </c>
      <c r="I29" s="204">
        <f>'4.Pronostico de Ventas'!G12</f>
        <v>33041.951280000001</v>
      </c>
      <c r="J29" s="204">
        <f>'4.Pronostico de Ventas'!G13</f>
        <v>29819.864400000002</v>
      </c>
      <c r="K29" s="204">
        <f>'4.Pronostico de Ventas'!G14</f>
        <v>32368.60296</v>
      </c>
      <c r="L29" s="204">
        <f>'4.Pronostico de Ventas'!G15</f>
        <v>31399.323839999997</v>
      </c>
      <c r="M29" s="204">
        <f>'4.Pronostico de Ventas'!G16</f>
        <v>32281.848480000001</v>
      </c>
      <c r="N29" s="184"/>
    </row>
    <row r="30" spans="1:27" ht="32.25" customHeight="1">
      <c r="A30" s="205" t="s">
        <v>343</v>
      </c>
      <c r="B30" s="203">
        <v>150</v>
      </c>
      <c r="C30" s="203">
        <v>150</v>
      </c>
      <c r="D30" s="203">
        <v>150</v>
      </c>
      <c r="E30" s="203">
        <v>150</v>
      </c>
      <c r="F30" s="203">
        <v>150</v>
      </c>
      <c r="G30" s="203">
        <v>150</v>
      </c>
      <c r="H30" s="203">
        <v>150</v>
      </c>
      <c r="I30" s="203">
        <v>150</v>
      </c>
      <c r="J30" s="203">
        <v>150</v>
      </c>
      <c r="K30" s="203">
        <v>150</v>
      </c>
      <c r="L30" s="203">
        <v>150</v>
      </c>
      <c r="M30" s="203">
        <v>150</v>
      </c>
      <c r="N30" s="114"/>
    </row>
    <row r="31" spans="1:27" ht="32.25" customHeight="1">
      <c r="A31" s="205" t="s">
        <v>344</v>
      </c>
      <c r="B31" s="204">
        <v>84</v>
      </c>
      <c r="C31" s="204">
        <v>252</v>
      </c>
      <c r="D31" s="204">
        <v>420</v>
      </c>
      <c r="E31" s="204">
        <v>588</v>
      </c>
      <c r="F31" s="204">
        <v>756</v>
      </c>
      <c r="G31" s="204">
        <v>840</v>
      </c>
      <c r="H31" s="204">
        <v>840</v>
      </c>
      <c r="I31" s="204">
        <v>840</v>
      </c>
      <c r="J31" s="204">
        <v>840</v>
      </c>
      <c r="K31" s="204">
        <v>840</v>
      </c>
      <c r="L31" s="204">
        <v>840</v>
      </c>
      <c r="M31" s="204">
        <v>840</v>
      </c>
      <c r="N31" s="114"/>
    </row>
    <row r="32" spans="1:27" ht="32.25" customHeight="1">
      <c r="A32" s="221"/>
      <c r="B32" s="222"/>
      <c r="C32" s="222"/>
      <c r="D32" s="222"/>
      <c r="E32" s="222"/>
      <c r="F32" s="222"/>
      <c r="G32" s="222"/>
      <c r="H32" s="222"/>
      <c r="I32" s="222"/>
      <c r="J32" s="222"/>
      <c r="K32" s="222"/>
      <c r="L32" s="222"/>
      <c r="M32" s="222"/>
      <c r="N32" s="114"/>
    </row>
    <row r="33" spans="1:24" ht="32.25" customHeight="1">
      <c r="A33" s="326" t="s">
        <v>345</v>
      </c>
      <c r="B33" s="327"/>
      <c r="C33" s="327"/>
      <c r="D33" s="327"/>
      <c r="E33" s="327"/>
      <c r="F33" s="327"/>
      <c r="G33" s="327"/>
      <c r="H33" s="327"/>
      <c r="I33" s="327"/>
      <c r="J33" s="327"/>
      <c r="K33" s="327"/>
      <c r="L33" s="327"/>
      <c r="M33" s="328"/>
      <c r="N33" s="220"/>
      <c r="P33" s="312" t="s">
        <v>346</v>
      </c>
      <c r="Q33" s="313"/>
      <c r="R33" s="313"/>
      <c r="S33" s="313"/>
      <c r="T33" s="313"/>
      <c r="U33" s="314"/>
      <c r="W33" s="319" t="s">
        <v>347</v>
      </c>
      <c r="X33" s="319"/>
    </row>
    <row r="34" spans="1:24" ht="31.5" customHeight="1">
      <c r="A34" s="210" t="s">
        <v>348</v>
      </c>
      <c r="B34" s="211">
        <v>1</v>
      </c>
      <c r="C34" s="211">
        <v>2</v>
      </c>
      <c r="D34" s="211">
        <v>3</v>
      </c>
      <c r="E34" s="211">
        <v>4</v>
      </c>
      <c r="F34" s="211">
        <v>5</v>
      </c>
      <c r="G34" s="211">
        <v>6</v>
      </c>
      <c r="H34" s="211">
        <v>7</v>
      </c>
      <c r="I34" s="211">
        <v>8</v>
      </c>
      <c r="J34" s="211">
        <v>9</v>
      </c>
      <c r="K34" s="211">
        <v>10</v>
      </c>
      <c r="L34" s="211">
        <v>11</v>
      </c>
      <c r="M34" s="212">
        <v>12</v>
      </c>
      <c r="N34" s="126"/>
      <c r="P34" s="213" t="s">
        <v>349</v>
      </c>
      <c r="Q34" s="213">
        <v>1</v>
      </c>
      <c r="R34" s="213">
        <v>2</v>
      </c>
      <c r="S34" s="213">
        <v>3</v>
      </c>
      <c r="T34" s="213">
        <v>4</v>
      </c>
      <c r="U34" s="213">
        <v>5</v>
      </c>
      <c r="W34" s="161" t="s">
        <v>350</v>
      </c>
      <c r="X34" s="162">
        <v>1</v>
      </c>
    </row>
    <row r="35" spans="1:24" ht="24.75" customHeight="1">
      <c r="A35" s="130" t="s">
        <v>351</v>
      </c>
      <c r="B35" s="141">
        <f>(B28*B29)+(B30*B31)</f>
        <v>1260131.9039999999</v>
      </c>
      <c r="C35" s="141">
        <f t="shared" ref="C35:M35" si="17">(C28*C29)+(C30*C31)</f>
        <v>1238383.98</v>
      </c>
      <c r="D35" s="141">
        <f t="shared" si="17"/>
        <v>1584117.588</v>
      </c>
      <c r="E35" s="141">
        <f t="shared" si="17"/>
        <v>1672748.412</v>
      </c>
      <c r="F35" s="141">
        <f t="shared" si="17"/>
        <v>1521995.64</v>
      </c>
      <c r="G35" s="141">
        <f t="shared" si="17"/>
        <v>1456358.1240000001</v>
      </c>
      <c r="H35" s="141">
        <f t="shared" si="17"/>
        <v>1763432.436</v>
      </c>
      <c r="I35" s="141">
        <f t="shared" si="17"/>
        <v>1778097.564</v>
      </c>
      <c r="J35" s="141">
        <f t="shared" si="17"/>
        <v>1616993.2200000002</v>
      </c>
      <c r="K35" s="141">
        <f t="shared" si="17"/>
        <v>1744430.148</v>
      </c>
      <c r="L35" s="141">
        <f t="shared" si="17"/>
        <v>1695966.1919999998</v>
      </c>
      <c r="M35" s="142">
        <f t="shared" si="17"/>
        <v>1740092.4240000001</v>
      </c>
      <c r="N35" s="114"/>
      <c r="P35" s="229" t="s">
        <v>298</v>
      </c>
      <c r="Q35" s="149">
        <f>SUM(B35:M35)*$X$34</f>
        <v>19072747.631999999</v>
      </c>
      <c r="R35" s="149">
        <f>SUM(C35:N35)*$X$34</f>
        <v>17812615.728</v>
      </c>
      <c r="S35" s="149">
        <f>SUM(D35:P35)*$X$34</f>
        <v>16574231.748</v>
      </c>
      <c r="T35" s="149">
        <f>SUM(E35:Q35)*$X$34</f>
        <v>34062861.791999996</v>
      </c>
      <c r="U35" s="230">
        <f>SUM(F35:R35)*$X$34</f>
        <v>50202729.108000003</v>
      </c>
      <c r="W35" s="161" t="s">
        <v>352</v>
      </c>
      <c r="X35" s="162">
        <v>1</v>
      </c>
    </row>
    <row r="36" spans="1:24" s="127" customFormat="1">
      <c r="A36" s="130" t="s">
        <v>353</v>
      </c>
      <c r="B36" s="141">
        <f>B16+C16</f>
        <v>0</v>
      </c>
      <c r="C36" s="141">
        <f t="shared" ref="C36:M36" si="18">D16</f>
        <v>0</v>
      </c>
      <c r="D36" s="141">
        <f t="shared" si="18"/>
        <v>0</v>
      </c>
      <c r="E36" s="141">
        <f t="shared" si="18"/>
        <v>0</v>
      </c>
      <c r="F36" s="141">
        <f t="shared" si="18"/>
        <v>0</v>
      </c>
      <c r="G36" s="141">
        <f t="shared" si="18"/>
        <v>0</v>
      </c>
      <c r="H36" s="141">
        <f t="shared" si="18"/>
        <v>0</v>
      </c>
      <c r="I36" s="141">
        <f t="shared" si="18"/>
        <v>0</v>
      </c>
      <c r="J36" s="141">
        <f t="shared" si="18"/>
        <v>0</v>
      </c>
      <c r="K36" s="141">
        <f t="shared" si="18"/>
        <v>0</v>
      </c>
      <c r="L36" s="141">
        <f t="shared" si="18"/>
        <v>0</v>
      </c>
      <c r="M36" s="142">
        <f t="shared" si="18"/>
        <v>0</v>
      </c>
      <c r="N36" s="114"/>
      <c r="P36" s="231" t="s">
        <v>354</v>
      </c>
      <c r="Q36" s="150">
        <f>SUM(B36:M36)</f>
        <v>0</v>
      </c>
      <c r="R36" s="149">
        <f>M36*12</f>
        <v>0</v>
      </c>
      <c r="S36" s="149">
        <f>R36</f>
        <v>0</v>
      </c>
      <c r="T36" s="149">
        <f>S36</f>
        <v>0</v>
      </c>
      <c r="U36" s="232">
        <f>T36</f>
        <v>0</v>
      </c>
    </row>
    <row r="37" spans="1:24">
      <c r="A37" s="131" t="s">
        <v>355</v>
      </c>
      <c r="B37" s="143">
        <f>B35-B36</f>
        <v>1260131.9039999999</v>
      </c>
      <c r="C37" s="143">
        <f t="shared" ref="C37:M37" si="19">C35-C36</f>
        <v>1238383.98</v>
      </c>
      <c r="D37" s="143">
        <f t="shared" si="19"/>
        <v>1584117.588</v>
      </c>
      <c r="E37" s="143">
        <f t="shared" si="19"/>
        <v>1672748.412</v>
      </c>
      <c r="F37" s="143">
        <f t="shared" si="19"/>
        <v>1521995.64</v>
      </c>
      <c r="G37" s="143">
        <f t="shared" si="19"/>
        <v>1456358.1240000001</v>
      </c>
      <c r="H37" s="143">
        <f t="shared" si="19"/>
        <v>1763432.436</v>
      </c>
      <c r="I37" s="143">
        <f t="shared" si="19"/>
        <v>1778097.564</v>
      </c>
      <c r="J37" s="143">
        <f t="shared" si="19"/>
        <v>1616993.2200000002</v>
      </c>
      <c r="K37" s="143">
        <f t="shared" si="19"/>
        <v>1744430.148</v>
      </c>
      <c r="L37" s="143">
        <f t="shared" si="19"/>
        <v>1695966.1919999998</v>
      </c>
      <c r="M37" s="144">
        <f t="shared" si="19"/>
        <v>1740092.4240000001</v>
      </c>
      <c r="N37" s="114"/>
      <c r="P37" s="229" t="s">
        <v>356</v>
      </c>
      <c r="Q37" s="149">
        <f>SUM(B37:M37)</f>
        <v>19072747.631999999</v>
      </c>
      <c r="R37" s="151">
        <f>M37*12</f>
        <v>20881109.088</v>
      </c>
      <c r="S37" s="151">
        <f>R37</f>
        <v>20881109.088</v>
      </c>
      <c r="T37" s="151">
        <f>S37</f>
        <v>20881109.088</v>
      </c>
      <c r="U37" s="230">
        <f>T37</f>
        <v>20881109.088</v>
      </c>
    </row>
    <row r="38" spans="1:24">
      <c r="A38" s="132" t="s">
        <v>357</v>
      </c>
      <c r="B38" s="141">
        <f>SUM(B17:C18)</f>
        <v>1487418.615</v>
      </c>
      <c r="C38" s="141">
        <f t="shared" ref="C38:M38" si="20">SUM(D17:D18)</f>
        <v>145100</v>
      </c>
      <c r="D38" s="141">
        <f t="shared" si="20"/>
        <v>145100</v>
      </c>
      <c r="E38" s="141">
        <f t="shared" si="20"/>
        <v>145100</v>
      </c>
      <c r="F38" s="141">
        <f t="shared" si="20"/>
        <v>145100</v>
      </c>
      <c r="G38" s="141">
        <f t="shared" si="20"/>
        <v>145100</v>
      </c>
      <c r="H38" s="141">
        <f t="shared" si="20"/>
        <v>145100</v>
      </c>
      <c r="I38" s="141">
        <f t="shared" si="20"/>
        <v>145100</v>
      </c>
      <c r="J38" s="141">
        <f t="shared" si="20"/>
        <v>145100</v>
      </c>
      <c r="K38" s="141">
        <f t="shared" si="20"/>
        <v>145100</v>
      </c>
      <c r="L38" s="141">
        <f t="shared" si="20"/>
        <v>145100</v>
      </c>
      <c r="M38" s="142">
        <f t="shared" si="20"/>
        <v>145100</v>
      </c>
      <c r="N38" s="114"/>
      <c r="P38" s="229" t="s">
        <v>358</v>
      </c>
      <c r="Q38" s="149">
        <f>SUM(B38:M38)*$X$35</f>
        <v>3083518.6150000002</v>
      </c>
      <c r="R38" s="149">
        <f>SUM(C38:N38)*$X$35</f>
        <v>1596100</v>
      </c>
      <c r="S38" s="149">
        <f>SUM(D38:P38)*$X$35</f>
        <v>1451000</v>
      </c>
      <c r="T38" s="149">
        <f>SUM(E38:Q38)*$X$35</f>
        <v>4389418.6150000002</v>
      </c>
      <c r="U38" s="230">
        <f>SUM(F38:R38)*$X$35</f>
        <v>5840418.6150000002</v>
      </c>
    </row>
    <row r="39" spans="1:24" ht="15.75" customHeight="1">
      <c r="A39" s="132" t="s">
        <v>359</v>
      </c>
      <c r="B39" s="141">
        <f>$F$4</f>
        <v>4240.6215250000005</v>
      </c>
      <c r="C39" s="141">
        <f t="shared" ref="C39:M39" si="21">$F$4</f>
        <v>4240.6215250000005</v>
      </c>
      <c r="D39" s="141">
        <f t="shared" si="21"/>
        <v>4240.6215250000005</v>
      </c>
      <c r="E39" s="141">
        <f t="shared" si="21"/>
        <v>4240.6215250000005</v>
      </c>
      <c r="F39" s="141">
        <f t="shared" si="21"/>
        <v>4240.6215250000005</v>
      </c>
      <c r="G39" s="141">
        <f t="shared" si="21"/>
        <v>4240.6215250000005</v>
      </c>
      <c r="H39" s="141">
        <f t="shared" si="21"/>
        <v>4240.6215250000005</v>
      </c>
      <c r="I39" s="141">
        <f t="shared" si="21"/>
        <v>4240.6215250000005</v>
      </c>
      <c r="J39" s="141">
        <f t="shared" si="21"/>
        <v>4240.6215250000005</v>
      </c>
      <c r="K39" s="141">
        <f>$F$4</f>
        <v>4240.6215250000005</v>
      </c>
      <c r="L39" s="141">
        <f t="shared" si="21"/>
        <v>4240.6215250000005</v>
      </c>
      <c r="M39" s="142">
        <f t="shared" si="21"/>
        <v>4240.6215250000005</v>
      </c>
      <c r="N39" s="114"/>
      <c r="P39" s="229" t="s">
        <v>360</v>
      </c>
      <c r="Q39" s="149">
        <f>SUM(B39:M39)</f>
        <v>50887.45830000002</v>
      </c>
      <c r="R39" s="149">
        <v>0</v>
      </c>
      <c r="S39" s="149">
        <v>0</v>
      </c>
      <c r="T39" s="149">
        <v>0</v>
      </c>
      <c r="U39" s="230">
        <v>0</v>
      </c>
    </row>
    <row r="40" spans="1:24">
      <c r="A40" s="132" t="s">
        <v>361</v>
      </c>
      <c r="B40" s="141">
        <f>$K$2/12</f>
        <v>3468.7102500000001</v>
      </c>
      <c r="C40" s="141">
        <f t="shared" ref="C40:M40" si="22">$K$2/12</f>
        <v>3468.7102500000001</v>
      </c>
      <c r="D40" s="141">
        <f t="shared" si="22"/>
        <v>3468.7102500000001</v>
      </c>
      <c r="E40" s="141">
        <f t="shared" si="22"/>
        <v>3468.7102500000001</v>
      </c>
      <c r="F40" s="141">
        <f t="shared" si="22"/>
        <v>3468.7102500000001</v>
      </c>
      <c r="G40" s="141">
        <f t="shared" si="22"/>
        <v>3468.7102500000001</v>
      </c>
      <c r="H40" s="141">
        <f t="shared" si="22"/>
        <v>3468.7102500000001</v>
      </c>
      <c r="I40" s="141">
        <f t="shared" si="22"/>
        <v>3468.7102500000001</v>
      </c>
      <c r="J40" s="141">
        <f t="shared" si="22"/>
        <v>3468.7102500000001</v>
      </c>
      <c r="K40" s="141">
        <f t="shared" si="22"/>
        <v>3468.7102500000001</v>
      </c>
      <c r="L40" s="141">
        <f t="shared" si="22"/>
        <v>3468.7102500000001</v>
      </c>
      <c r="M40" s="142">
        <f t="shared" si="22"/>
        <v>3468.7102500000001</v>
      </c>
      <c r="N40" s="114"/>
      <c r="P40" s="229" t="s">
        <v>362</v>
      </c>
      <c r="Q40" s="149">
        <f>SUM(B40:M40)</f>
        <v>41624.523000000001</v>
      </c>
      <c r="R40" s="149">
        <f>M40*12</f>
        <v>41624.523000000001</v>
      </c>
      <c r="S40" s="149">
        <f>R40</f>
        <v>41624.523000000001</v>
      </c>
      <c r="T40" s="149">
        <f>S40</f>
        <v>41624.523000000001</v>
      </c>
      <c r="U40" s="230">
        <f>T40</f>
        <v>41624.523000000001</v>
      </c>
    </row>
    <row r="41" spans="1:24" ht="17.25" customHeight="1">
      <c r="A41" s="132" t="s">
        <v>363</v>
      </c>
      <c r="B41" s="141">
        <f>$K$3/12</f>
        <v>4695.833333333333</v>
      </c>
      <c r="C41" s="141">
        <f t="shared" ref="C41:M41" si="23">$K$3/12</f>
        <v>4695.833333333333</v>
      </c>
      <c r="D41" s="141">
        <f t="shared" si="23"/>
        <v>4695.833333333333</v>
      </c>
      <c r="E41" s="141">
        <f t="shared" si="23"/>
        <v>4695.833333333333</v>
      </c>
      <c r="F41" s="141">
        <f t="shared" si="23"/>
        <v>4695.833333333333</v>
      </c>
      <c r="G41" s="141">
        <f t="shared" si="23"/>
        <v>4695.833333333333</v>
      </c>
      <c r="H41" s="141">
        <f t="shared" si="23"/>
        <v>4695.833333333333</v>
      </c>
      <c r="I41" s="141">
        <f t="shared" si="23"/>
        <v>4695.833333333333</v>
      </c>
      <c r="J41" s="141">
        <f t="shared" si="23"/>
        <v>4695.833333333333</v>
      </c>
      <c r="K41" s="141">
        <f t="shared" si="23"/>
        <v>4695.833333333333</v>
      </c>
      <c r="L41" s="141">
        <f t="shared" si="23"/>
        <v>4695.833333333333</v>
      </c>
      <c r="M41" s="142">
        <f t="shared" si="23"/>
        <v>4695.833333333333</v>
      </c>
      <c r="N41" s="114"/>
      <c r="P41" s="231" t="s">
        <v>364</v>
      </c>
      <c r="Q41" s="150">
        <f>SUM(B41:M41)</f>
        <v>56350.000000000007</v>
      </c>
      <c r="R41" s="150">
        <f>M41*12</f>
        <v>56350</v>
      </c>
      <c r="S41" s="150">
        <f>R41</f>
        <v>56350</v>
      </c>
      <c r="T41" s="150">
        <f>S41</f>
        <v>56350</v>
      </c>
      <c r="U41" s="233">
        <f>T41</f>
        <v>56350</v>
      </c>
    </row>
    <row r="42" spans="1:24" ht="34.5" customHeight="1">
      <c r="A42" s="131" t="s">
        <v>365</v>
      </c>
      <c r="B42" s="143">
        <f>B37-B38-B39-B40-B41</f>
        <v>-239691.87610833347</v>
      </c>
      <c r="C42" s="143">
        <f t="shared" ref="C42:I42" si="24">C37-C38-C39-C40-C41</f>
        <v>1080878.8148916666</v>
      </c>
      <c r="D42" s="143">
        <f t="shared" si="24"/>
        <v>1426612.4228916666</v>
      </c>
      <c r="E42" s="143">
        <f t="shared" si="24"/>
        <v>1515243.2468916667</v>
      </c>
      <c r="F42" s="143">
        <f t="shared" si="24"/>
        <v>1364490.4748916666</v>
      </c>
      <c r="G42" s="143">
        <f t="shared" si="24"/>
        <v>1298852.9588916667</v>
      </c>
      <c r="H42" s="143">
        <f t="shared" si="24"/>
        <v>1605927.2708916666</v>
      </c>
      <c r="I42" s="143">
        <f t="shared" si="24"/>
        <v>1620592.3988916667</v>
      </c>
      <c r="J42" s="143">
        <f>J37-J38-J39-J40-J41</f>
        <v>1459488.0548916669</v>
      </c>
      <c r="K42" s="143">
        <f t="shared" ref="K42" si="25">K37-K38-K39-K40-K41</f>
        <v>1586924.9828916667</v>
      </c>
      <c r="L42" s="143">
        <f t="shared" ref="L42" si="26">L37-L38-L39-L40-L41</f>
        <v>1538461.0268916665</v>
      </c>
      <c r="M42" s="144">
        <f t="shared" ref="M42" si="27">M37-M38-M39-M40-M41</f>
        <v>1582587.2588916668</v>
      </c>
      <c r="N42" s="114"/>
      <c r="P42" s="229" t="s">
        <v>366</v>
      </c>
      <c r="Q42" s="149">
        <f>SUM(B42:M42)</f>
        <v>15840367.035699999</v>
      </c>
      <c r="R42" s="149">
        <f>M42*12</f>
        <v>18991047.106700003</v>
      </c>
      <c r="S42" s="149">
        <f>R42</f>
        <v>18991047.106700003</v>
      </c>
      <c r="T42" s="149">
        <f>S42</f>
        <v>18991047.106700003</v>
      </c>
      <c r="U42" s="230">
        <f>T42</f>
        <v>18991047.106700003</v>
      </c>
    </row>
    <row r="43" spans="1:24" ht="19.5" customHeight="1">
      <c r="A43" s="320" t="s">
        <v>367</v>
      </c>
      <c r="B43" s="321"/>
      <c r="C43" s="321"/>
      <c r="D43" s="321"/>
      <c r="E43" s="321"/>
      <c r="F43" s="321"/>
      <c r="G43" s="321"/>
      <c r="H43" s="321"/>
      <c r="I43" s="321"/>
      <c r="J43" s="321"/>
      <c r="K43" s="321"/>
      <c r="L43" s="321"/>
      <c r="M43" s="322"/>
      <c r="N43" s="123" t="s">
        <v>340</v>
      </c>
      <c r="P43" s="234" t="s">
        <v>367</v>
      </c>
      <c r="Q43" s="125"/>
      <c r="R43" s="125"/>
      <c r="S43" s="125"/>
      <c r="T43" s="125"/>
      <c r="U43" s="235"/>
    </row>
    <row r="44" spans="1:24" ht="22.5" customHeight="1">
      <c r="A44" s="130" t="s">
        <v>368</v>
      </c>
      <c r="B44" s="141">
        <f>IF(B42&gt;=0, 0.35*B42, 0)</f>
        <v>0</v>
      </c>
      <c r="C44" s="141">
        <f t="shared" ref="C44:M44" si="28">IF(C42&gt;=0, 0.35*C42, 0)</f>
        <v>378307.5852120833</v>
      </c>
      <c r="D44" s="141">
        <f t="shared" si="28"/>
        <v>499314.34801208327</v>
      </c>
      <c r="E44" s="141">
        <f t="shared" si="28"/>
        <v>530335.13641208329</v>
      </c>
      <c r="F44" s="141">
        <f t="shared" si="28"/>
        <v>477571.66621208325</v>
      </c>
      <c r="G44" s="141">
        <f t="shared" si="28"/>
        <v>454598.53561208333</v>
      </c>
      <c r="H44" s="141">
        <f t="shared" si="28"/>
        <v>562074.54481208324</v>
      </c>
      <c r="I44" s="141">
        <f t="shared" si="28"/>
        <v>567207.33961208328</v>
      </c>
      <c r="J44" s="141">
        <f t="shared" si="28"/>
        <v>510820.81921208336</v>
      </c>
      <c r="K44" s="141">
        <f t="shared" si="28"/>
        <v>555423.74401208328</v>
      </c>
      <c r="L44" s="141">
        <f t="shared" si="28"/>
        <v>538461.35941208329</v>
      </c>
      <c r="M44" s="142">
        <f t="shared" si="28"/>
        <v>553905.54061208328</v>
      </c>
      <c r="N44" s="114"/>
      <c r="P44" s="236" t="s">
        <v>368</v>
      </c>
      <c r="Q44" s="149">
        <f>SUM(B44:M44)</f>
        <v>5628020.6191329164</v>
      </c>
      <c r="R44" s="149">
        <f>M44*12</f>
        <v>6646866.4873449989</v>
      </c>
      <c r="S44" s="149">
        <f>R44</f>
        <v>6646866.4873449989</v>
      </c>
      <c r="T44" s="149">
        <f>S44</f>
        <v>6646866.4873449989</v>
      </c>
      <c r="U44" s="230">
        <f>T44</f>
        <v>6646866.4873449989</v>
      </c>
    </row>
    <row r="45" spans="1:24">
      <c r="A45" s="133" t="s">
        <v>369</v>
      </c>
      <c r="B45" s="141">
        <f>IF(B42&gt;=0, 0.1*B42, 0)</f>
        <v>0</v>
      </c>
      <c r="C45" s="141">
        <f t="shared" ref="C45:M45" si="29">IF(C42&gt;=0, 0.1*C42, 0)</f>
        <v>108087.88148916667</v>
      </c>
      <c r="D45" s="141">
        <f t="shared" si="29"/>
        <v>142661.24228916666</v>
      </c>
      <c r="E45" s="141">
        <f t="shared" si="29"/>
        <v>151524.32468916668</v>
      </c>
      <c r="F45" s="141">
        <f t="shared" si="29"/>
        <v>136449.04748916667</v>
      </c>
      <c r="G45" s="141">
        <f t="shared" si="29"/>
        <v>129885.29588916668</v>
      </c>
      <c r="H45" s="141">
        <f t="shared" si="29"/>
        <v>160592.72708916667</v>
      </c>
      <c r="I45" s="141">
        <f t="shared" si="29"/>
        <v>162059.23988916667</v>
      </c>
      <c r="J45" s="141">
        <f t="shared" si="29"/>
        <v>145948.8054891667</v>
      </c>
      <c r="K45" s="141">
        <f t="shared" si="29"/>
        <v>158692.49828916669</v>
      </c>
      <c r="L45" s="141">
        <f t="shared" si="29"/>
        <v>153846.10268916664</v>
      </c>
      <c r="M45" s="142">
        <f t="shared" si="29"/>
        <v>158258.7258891667</v>
      </c>
      <c r="N45" s="114"/>
      <c r="P45" s="237" t="s">
        <v>369</v>
      </c>
      <c r="Q45" s="150">
        <f>SUM(B45:M45)</f>
        <v>1608005.8911808333</v>
      </c>
      <c r="R45" s="149">
        <f>M45*12</f>
        <v>1899104.7106700004</v>
      </c>
      <c r="S45" s="149">
        <f>R45</f>
        <v>1899104.7106700004</v>
      </c>
      <c r="T45" s="149">
        <f>S45</f>
        <v>1899104.7106700004</v>
      </c>
      <c r="U45" s="230">
        <f>T45</f>
        <v>1899104.7106700004</v>
      </c>
    </row>
    <row r="46" spans="1:24">
      <c r="A46" s="134" t="s">
        <v>370</v>
      </c>
      <c r="B46" s="145">
        <f>B44+B45</f>
        <v>0</v>
      </c>
      <c r="C46" s="145">
        <f t="shared" ref="C46:M46" si="30">C44+C45</f>
        <v>486395.46670124994</v>
      </c>
      <c r="D46" s="145">
        <f t="shared" si="30"/>
        <v>641975.59030124987</v>
      </c>
      <c r="E46" s="145">
        <f t="shared" si="30"/>
        <v>681859.46110125002</v>
      </c>
      <c r="F46" s="145">
        <f t="shared" si="30"/>
        <v>614020.71370124992</v>
      </c>
      <c r="G46" s="145">
        <f t="shared" si="30"/>
        <v>584483.83150125004</v>
      </c>
      <c r="H46" s="145">
        <f t="shared" si="30"/>
        <v>722667.27190124989</v>
      </c>
      <c r="I46" s="145">
        <f t="shared" si="30"/>
        <v>729266.57950124994</v>
      </c>
      <c r="J46" s="145">
        <f t="shared" si="30"/>
        <v>656769.62470125011</v>
      </c>
      <c r="K46" s="145">
        <f t="shared" si="30"/>
        <v>714116.24230124999</v>
      </c>
      <c r="L46" s="145">
        <f t="shared" si="30"/>
        <v>692307.46210124996</v>
      </c>
      <c r="M46" s="146">
        <f t="shared" si="30"/>
        <v>712164.26650124998</v>
      </c>
      <c r="N46" s="114"/>
      <c r="P46" s="238" t="s">
        <v>370</v>
      </c>
      <c r="Q46" s="152">
        <f>SUM(B46:M46)</f>
        <v>7236026.5103137493</v>
      </c>
      <c r="R46" s="152">
        <f>M46*12</f>
        <v>8545971.1980150007</v>
      </c>
      <c r="S46" s="152">
        <f>R46</f>
        <v>8545971.1980150007</v>
      </c>
      <c r="T46" s="152">
        <f>S46</f>
        <v>8545971.1980150007</v>
      </c>
      <c r="U46" s="239">
        <f>T46</f>
        <v>8545971.1980150007</v>
      </c>
    </row>
    <row r="47" spans="1:24" ht="31.5" customHeight="1">
      <c r="A47" s="135" t="s">
        <v>371</v>
      </c>
      <c r="B47" s="147">
        <f>B42-B46</f>
        <v>-239691.87610833347</v>
      </c>
      <c r="C47" s="147">
        <f t="shared" ref="C47:I47" si="31">C42-C46</f>
        <v>594483.3481904167</v>
      </c>
      <c r="D47" s="147">
        <f t="shared" si="31"/>
        <v>784636.83259041677</v>
      </c>
      <c r="E47" s="147">
        <f t="shared" si="31"/>
        <v>833383.78579041664</v>
      </c>
      <c r="F47" s="147">
        <f t="shared" si="31"/>
        <v>750469.76119041664</v>
      </c>
      <c r="G47" s="147">
        <f t="shared" si="31"/>
        <v>714369.12739041669</v>
      </c>
      <c r="H47" s="147">
        <f t="shared" si="31"/>
        <v>883259.99899041676</v>
      </c>
      <c r="I47" s="147">
        <f t="shared" si="31"/>
        <v>891325.81939041673</v>
      </c>
      <c r="J47" s="147">
        <f t="shared" ref="J47" si="32">J42-J46</f>
        <v>802718.43019041675</v>
      </c>
      <c r="K47" s="147">
        <f t="shared" ref="K47" si="33">K42-K46</f>
        <v>872808.74059041671</v>
      </c>
      <c r="L47" s="147">
        <f t="shared" ref="L47" si="34">L42-L46</f>
        <v>846153.56479041651</v>
      </c>
      <c r="M47" s="148">
        <f t="shared" ref="M47" si="35">M42-M46</f>
        <v>870422.9923904168</v>
      </c>
      <c r="N47" s="114"/>
      <c r="P47" s="240" t="s">
        <v>371</v>
      </c>
      <c r="Q47" s="228">
        <f>SUM(B47:M47)</f>
        <v>8604340.5253862515</v>
      </c>
      <c r="R47" s="228">
        <f>M47*12</f>
        <v>10445075.908685002</v>
      </c>
      <c r="S47" s="228">
        <f>R47</f>
        <v>10445075.908685002</v>
      </c>
      <c r="T47" s="228">
        <f>S47</f>
        <v>10445075.908685002</v>
      </c>
      <c r="U47" s="232">
        <f>T47</f>
        <v>10445075.908685002</v>
      </c>
    </row>
    <row r="48" spans="1:24" ht="19.5" customHeight="1"/>
    <row r="49" ht="17.25" customHeight="1"/>
  </sheetData>
  <mergeCells count="9">
    <mergeCell ref="P33:U33"/>
    <mergeCell ref="P6:U6"/>
    <mergeCell ref="B2:H2"/>
    <mergeCell ref="W33:X33"/>
    <mergeCell ref="A43:M43"/>
    <mergeCell ref="A6:N6"/>
    <mergeCell ref="A33:M33"/>
    <mergeCell ref="A27:M27"/>
    <mergeCell ref="P2:T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DA2B-C833-4D3D-9D8E-72C66C75A715}">
  <dimension ref="A1:F1"/>
  <sheetViews>
    <sheetView topLeftCell="A2" zoomScale="70" zoomScaleNormal="70" workbookViewId="0">
      <selection activeCell="L13" sqref="L13"/>
    </sheetView>
  </sheetViews>
  <sheetFormatPr defaultColWidth="8.85546875" defaultRowHeight="15"/>
  <cols>
    <col min="6" max="6" width="65.28515625" customWidth="1"/>
  </cols>
  <sheetData>
    <row r="1" spans="1:6" ht="21">
      <c r="A1" s="287" t="s">
        <v>372</v>
      </c>
      <c r="B1" s="287"/>
      <c r="C1" s="287"/>
      <c r="D1" s="287"/>
      <c r="E1" s="287"/>
      <c r="F1" s="287"/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GLADYS JAZ</dc:creator>
  <cp:keywords/>
  <dc:description/>
  <cp:lastModifiedBy>Moises Tejeda</cp:lastModifiedBy>
  <cp:revision/>
  <dcterms:created xsi:type="dcterms:W3CDTF">2023-10-20T18:49:05Z</dcterms:created>
  <dcterms:modified xsi:type="dcterms:W3CDTF">2023-11-28T02:32:00Z</dcterms:modified>
  <cp:category/>
  <cp:contentStatus/>
</cp:coreProperties>
</file>