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" sheetId="1" r:id="rId4"/>
    <sheet state="visible" name="Cost Plan" sheetId="2" r:id="rId5"/>
    <sheet state="visible" name="Sheet6" sheetId="3" r:id="rId6"/>
  </sheets>
  <definedNames/>
  <calcPr/>
</workbook>
</file>

<file path=xl/sharedStrings.xml><?xml version="1.0" encoding="utf-8"?>
<sst xmlns="http://schemas.openxmlformats.org/spreadsheetml/2006/main" count="97" uniqueCount="76">
  <si>
    <t>Gross Power</t>
  </si>
  <si>
    <t>MW</t>
  </si>
  <si>
    <t>PUE</t>
  </si>
  <si>
    <t>IT Load</t>
  </si>
  <si>
    <t>Market Cost to Build</t>
  </si>
  <si>
    <t>€/MW</t>
  </si>
  <si>
    <t>Development Cost (a)</t>
  </si>
  <si>
    <t>Target Cost to Build</t>
  </si>
  <si>
    <t>Development Cost (b)</t>
  </si>
  <si>
    <t>Land</t>
  </si>
  <si>
    <t>Months</t>
  </si>
  <si>
    <t>Additional Land</t>
  </si>
  <si>
    <t>Grid Connection</t>
  </si>
  <si>
    <t>Pre-Construction</t>
  </si>
  <si>
    <t>Development Fees</t>
  </si>
  <si>
    <t>Licencing Fees</t>
  </si>
  <si>
    <t>Stamp Duty &amp; Fees (10%)</t>
  </si>
  <si>
    <t>Total 1-6</t>
  </si>
  <si>
    <t>MRC per month</t>
  </si>
  <si>
    <t>€/kW/month</t>
  </si>
  <si>
    <t>MRC per annum</t>
  </si>
  <si>
    <t>€/MW/Annum</t>
  </si>
  <si>
    <t>MRC Indexing</t>
  </si>
  <si>
    <t>NRC year 1</t>
  </si>
  <si>
    <t>Standard Opex</t>
  </si>
  <si>
    <t>Total MRC + NRC</t>
  </si>
  <si>
    <t>Costs</t>
  </si>
  <si>
    <t>NOI</t>
  </si>
  <si>
    <t>Total NOI (15)</t>
  </si>
  <si>
    <t>Mobilisation</t>
  </si>
  <si>
    <t>Build</t>
  </si>
  <si>
    <t>Handover</t>
  </si>
  <si>
    <t>FA</t>
  </si>
  <si>
    <t>MGD</t>
  </si>
  <si>
    <t>Check</t>
  </si>
  <si>
    <t>MODEL</t>
  </si>
  <si>
    <t>MODEL (€)</t>
  </si>
  <si>
    <t>REVISED</t>
  </si>
  <si>
    <t>CONSTRUCTION</t>
  </si>
  <si>
    <t>Architectural</t>
  </si>
  <si>
    <t>Civil and Structural</t>
  </si>
  <si>
    <t>Substations</t>
  </si>
  <si>
    <t>Underground utilities</t>
  </si>
  <si>
    <t>Crusader Modules (Incl surveys and design)</t>
  </si>
  <si>
    <t>Bess (Incl surveys and design)</t>
  </si>
  <si>
    <t>Main Contractor installation</t>
  </si>
  <si>
    <t>Photo Voltaic system</t>
  </si>
  <si>
    <t>Landscaping</t>
  </si>
  <si>
    <t>Preliminaries - General</t>
  </si>
  <si>
    <t>Main Contractor Margin</t>
  </si>
  <si>
    <t>Connection</t>
  </si>
  <si>
    <t>Operations Team</t>
  </si>
  <si>
    <t>OS&amp;E</t>
  </si>
  <si>
    <t>Marketing</t>
  </si>
  <si>
    <t>DM Fee</t>
  </si>
  <si>
    <t>DARK Management Fee (3%)</t>
  </si>
  <si>
    <t>Contingency on all cost (10%)</t>
  </si>
  <si>
    <t>Total</t>
  </si>
  <si>
    <t>Operations</t>
  </si>
  <si>
    <t>Contingency</t>
  </si>
  <si>
    <t>Cumulative Costs</t>
  </si>
  <si>
    <t>Adjusted::</t>
  </si>
  <si>
    <t>Budget Amount (€)</t>
  </si>
  <si>
    <t>Modular Build System (Crusader)</t>
  </si>
  <si>
    <t>BESS Systems (incl. integration)</t>
  </si>
  <si>
    <t>Main Contractor Installation</t>
  </si>
  <si>
    <t>Photo Voltaic System</t>
  </si>
  <si>
    <t>Preliminaries – General</t>
  </si>
  <si>
    <t>Main Contractor Mark-Up</t>
  </si>
  <si>
    <t>Grid Interface</t>
  </si>
  <si>
    <t>Deal Structuring &amp; Legal</t>
  </si>
  <si>
    <t>Operations Team Mobilisation</t>
  </si>
  <si>
    <t>Marketing &amp; Tenant Setup</t>
  </si>
  <si>
    <t>Development Management Fee</t>
  </si>
  <si>
    <t>DARK Platform Management Fee</t>
  </si>
  <si>
    <t>Contingency (~10%)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</si>
</sst>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[$€]#,##0"/>
    <numFmt numFmtId="165" formatCode="d-m"/>
    <numFmt numFmtId="166" formatCode="[$€]#,##0.00"/>
    <numFmt numFmtId="167" formatCode="mmm&quot; &quot;yy"/>
    <numFmt numFmtId="168" formatCode="[$$]#,##0"/>
    <numFmt numFmtId="169" formatCode="#,##0.00;(#,##0.00)"/>
    <numFmt numFmtId="170" formatCode="&quot;€&quot;#,##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Lato"/>
    </font>
    <font>
      <sz val="11.0"/>
      <color rgb="FF000000"/>
      <name val="Lato"/>
    </font>
    <font>
      <color theme="1"/>
      <name val="Lato"/>
    </font>
    <font>
      <b/>
      <color rgb="FF000000"/>
      <name val="Lato"/>
    </font>
    <font/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30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2" xfId="0" applyAlignment="1" applyFont="1" applyNumberFormat="1">
      <alignment readingOrder="0"/>
    </xf>
    <xf borderId="0" fillId="2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1" numFmtId="166" xfId="0" applyAlignment="1" applyFont="1" applyNumberFormat="1">
      <alignment readingOrder="0"/>
    </xf>
    <xf borderId="0" fillId="0" fontId="1" numFmtId="166" xfId="0" applyFont="1" applyNumberFormat="1"/>
    <xf borderId="0" fillId="2" fontId="1" numFmtId="10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167" xfId="0" applyAlignment="1" applyFont="1" applyNumberFormat="1">
      <alignment horizontal="center" vertical="bottom"/>
    </xf>
    <xf borderId="0" fillId="0" fontId="3" numFmtId="167" xfId="0" applyAlignment="1" applyFont="1" applyNumberFormat="1">
      <alignment vertical="bottom"/>
    </xf>
    <xf borderId="0" fillId="0" fontId="4" numFmtId="167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5" numFmtId="0" xfId="0" applyFont="1"/>
    <xf borderId="0" fillId="0" fontId="3" numFmtId="168" xfId="0" applyAlignment="1" applyFont="1" applyNumberFormat="1">
      <alignment vertical="bottom"/>
    </xf>
    <xf borderId="1" fillId="3" fontId="6" numFmtId="0" xfId="0" applyAlignment="1" applyBorder="1" applyFill="1" applyFont="1">
      <alignment horizontal="center" vertical="bottom"/>
    </xf>
    <xf borderId="2" fillId="0" fontId="7" numFmtId="0" xfId="0" applyBorder="1" applyFont="1"/>
    <xf borderId="3" fillId="0" fontId="7" numFmtId="0" xfId="0" applyBorder="1" applyFont="1"/>
    <xf borderId="1" fillId="4" fontId="6" numFmtId="0" xfId="0" applyAlignment="1" applyBorder="1" applyFill="1" applyFont="1">
      <alignment horizontal="center" vertical="bottom"/>
    </xf>
    <xf borderId="1" fillId="5" fontId="6" numFmtId="0" xfId="0" applyAlignment="1" applyBorder="1" applyFill="1" applyFont="1">
      <alignment horizontal="center" vertical="bottom"/>
    </xf>
    <xf borderId="4" fillId="6" fontId="6" numFmtId="0" xfId="0" applyAlignment="1" applyBorder="1" applyFill="1" applyFont="1">
      <alignment horizontal="center" vertical="bottom"/>
    </xf>
    <xf borderId="1" fillId="0" fontId="3" numFmtId="0" xfId="0" applyAlignment="1" applyBorder="1" applyFont="1">
      <alignment vertical="bottom"/>
    </xf>
    <xf borderId="4" fillId="0" fontId="6" numFmtId="0" xfId="0" applyAlignment="1" applyBorder="1" applyFont="1">
      <alignment horizontal="center" vertical="bottom"/>
    </xf>
    <xf borderId="5" fillId="0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7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11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5" fillId="0" fontId="3" numFmtId="0" xfId="0" applyAlignment="1" applyBorder="1" applyFont="1">
      <alignment horizontal="center" vertical="bottom"/>
    </xf>
    <xf borderId="16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9" fillId="0" fontId="3" numFmtId="0" xfId="0" applyAlignment="1" applyBorder="1" applyFont="1">
      <alignment vertical="bottom"/>
    </xf>
    <xf borderId="0" fillId="0" fontId="3" numFmtId="168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20" fillId="0" fontId="3" numFmtId="164" xfId="0" applyAlignment="1" applyBorder="1" applyFont="1" applyNumberFormat="1">
      <alignment vertical="bottom"/>
    </xf>
    <xf borderId="21" fillId="0" fontId="3" numFmtId="164" xfId="0" applyAlignment="1" applyBorder="1" applyFont="1" applyNumberFormat="1">
      <alignment vertical="bottom"/>
    </xf>
    <xf borderId="22" fillId="0" fontId="3" numFmtId="164" xfId="0" applyAlignment="1" applyBorder="1" applyFont="1" applyNumberFormat="1">
      <alignment vertical="bottom"/>
    </xf>
    <xf borderId="7" fillId="0" fontId="3" numFmtId="164" xfId="0" applyAlignment="1" applyBorder="1" applyFont="1" applyNumberFormat="1">
      <alignment vertical="bottom"/>
    </xf>
    <xf borderId="8" fillId="0" fontId="3" numFmtId="164" xfId="0" applyAlignment="1" applyBorder="1" applyFont="1" applyNumberFormat="1">
      <alignment vertical="bottom"/>
    </xf>
    <xf borderId="9" fillId="0" fontId="3" numFmtId="164" xfId="0" applyAlignment="1" applyBorder="1" applyFont="1" applyNumberFormat="1">
      <alignment vertical="bottom"/>
    </xf>
    <xf borderId="8" fillId="0" fontId="3" numFmtId="164" xfId="0" applyAlignment="1" applyBorder="1" applyFont="1" applyNumberFormat="1">
      <alignment horizontal="right" vertical="bottom"/>
    </xf>
    <xf borderId="9" fillId="0" fontId="3" numFmtId="164" xfId="0" applyAlignment="1" applyBorder="1" applyFont="1" applyNumberFormat="1">
      <alignment horizontal="right" vertical="bottom"/>
    </xf>
    <xf borderId="23" fillId="0" fontId="3" numFmtId="164" xfId="0" applyAlignment="1" applyBorder="1" applyFont="1" applyNumberFormat="1">
      <alignment horizontal="right" vertical="bottom"/>
    </xf>
    <xf borderId="24" fillId="0" fontId="3" numFmtId="164" xfId="0" applyAlignment="1" applyBorder="1" applyFont="1" applyNumberFormat="1">
      <alignment vertical="bottom"/>
    </xf>
    <xf borderId="0" fillId="0" fontId="3" numFmtId="169" xfId="0" applyAlignment="1" applyFont="1" applyNumberFormat="1">
      <alignment vertical="bottom"/>
    </xf>
    <xf borderId="7" fillId="0" fontId="3" numFmtId="164" xfId="0" applyAlignment="1" applyBorder="1" applyFont="1" applyNumberFormat="1">
      <alignment horizontal="right" vertical="bottom"/>
    </xf>
    <xf borderId="23" fillId="0" fontId="3" numFmtId="164" xfId="0" applyAlignment="1" applyBorder="1" applyFont="1" applyNumberFormat="1">
      <alignment vertical="bottom"/>
    </xf>
    <xf borderId="0" fillId="0" fontId="3" numFmtId="168" xfId="0" applyAlignment="1" applyFont="1" applyNumberFormat="1">
      <alignment horizontal="righ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6" numFmtId="168" xfId="0" applyAlignment="1" applyFont="1" applyNumberFormat="1">
      <alignment vertical="bottom"/>
    </xf>
    <xf borderId="25" fillId="0" fontId="3" numFmtId="164" xfId="0" applyAlignment="1" applyBorder="1" applyFont="1" applyNumberFormat="1">
      <alignment horizontal="right" vertical="bottom"/>
    </xf>
    <xf borderId="26" fillId="0" fontId="3" numFmtId="164" xfId="0" applyAlignment="1" applyBorder="1" applyFont="1" applyNumberFormat="1">
      <alignment horizontal="right" vertical="bottom"/>
    </xf>
    <xf borderId="27" fillId="0" fontId="3" numFmtId="164" xfId="0" applyAlignment="1" applyBorder="1" applyFont="1" applyNumberFormat="1">
      <alignment horizontal="right" vertical="bottom"/>
    </xf>
    <xf borderId="28" fillId="0" fontId="3" numFmtId="164" xfId="0" applyAlignment="1" applyBorder="1" applyFont="1" applyNumberFormat="1">
      <alignment horizontal="right" vertical="bottom"/>
    </xf>
    <xf borderId="0" fillId="0" fontId="3" numFmtId="164" xfId="0" applyAlignment="1" applyFont="1" applyNumberFormat="1">
      <alignment vertical="bottom"/>
    </xf>
    <xf borderId="0" fillId="0" fontId="3" numFmtId="3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6" numFmtId="0" xfId="0" applyAlignment="1" applyFont="1">
      <alignment readingOrder="0" vertical="bottom"/>
    </xf>
    <xf borderId="20" fillId="0" fontId="3" numFmtId="168" xfId="0" applyAlignment="1" applyBorder="1" applyFont="1" applyNumberFormat="1">
      <alignment vertical="bottom"/>
    </xf>
    <xf borderId="21" fillId="0" fontId="3" numFmtId="168" xfId="0" applyAlignment="1" applyBorder="1" applyFont="1" applyNumberFormat="1">
      <alignment vertical="bottom"/>
    </xf>
    <xf borderId="22" fillId="0" fontId="3" numFmtId="168" xfId="0" applyAlignment="1" applyBorder="1" applyFont="1" applyNumberFormat="1">
      <alignment vertical="bottom"/>
    </xf>
    <xf borderId="21" fillId="0" fontId="3" numFmtId="168" xfId="0" applyAlignment="1" applyBorder="1" applyFont="1" applyNumberFormat="1">
      <alignment horizontal="right" vertical="bottom"/>
    </xf>
    <xf borderId="22" fillId="0" fontId="3" numFmtId="168" xfId="0" applyAlignment="1" applyBorder="1" applyFont="1" applyNumberFormat="1">
      <alignment horizontal="right" vertical="bottom"/>
    </xf>
    <xf borderId="4" fillId="0" fontId="3" numFmtId="168" xfId="0" applyAlignment="1" applyBorder="1" applyFont="1" applyNumberFormat="1">
      <alignment horizontal="right" vertical="bottom"/>
    </xf>
    <xf borderId="2" fillId="0" fontId="3" numFmtId="168" xfId="0" applyAlignment="1" applyBorder="1" applyFont="1" applyNumberFormat="1">
      <alignment vertical="bottom"/>
    </xf>
    <xf borderId="7" fillId="0" fontId="3" numFmtId="168" xfId="0" applyAlignment="1" applyBorder="1" applyFont="1" applyNumberFormat="1">
      <alignment vertical="bottom"/>
    </xf>
    <xf borderId="8" fillId="0" fontId="3" numFmtId="168" xfId="0" applyAlignment="1" applyBorder="1" applyFont="1" applyNumberFormat="1">
      <alignment vertical="bottom"/>
    </xf>
    <xf borderId="9" fillId="0" fontId="3" numFmtId="168" xfId="0" applyAlignment="1" applyBorder="1" applyFont="1" applyNumberFormat="1">
      <alignment vertical="bottom"/>
    </xf>
    <xf borderId="7" fillId="0" fontId="3" numFmtId="168" xfId="0" applyAlignment="1" applyBorder="1" applyFont="1" applyNumberFormat="1">
      <alignment horizontal="right" vertical="bottom"/>
    </xf>
    <xf borderId="8" fillId="0" fontId="3" numFmtId="168" xfId="0" applyAlignment="1" applyBorder="1" applyFont="1" applyNumberFormat="1">
      <alignment horizontal="right" vertical="bottom"/>
    </xf>
    <xf borderId="9" fillId="0" fontId="3" numFmtId="168" xfId="0" applyAlignment="1" applyBorder="1" applyFont="1" applyNumberFormat="1">
      <alignment horizontal="right" vertical="bottom"/>
    </xf>
    <xf borderId="23" fillId="0" fontId="3" numFmtId="168" xfId="0" applyAlignment="1" applyBorder="1" applyFont="1" applyNumberFormat="1">
      <alignment horizontal="right" vertical="bottom"/>
    </xf>
    <xf borderId="24" fillId="0" fontId="3" numFmtId="168" xfId="0" applyAlignment="1" applyBorder="1" applyFont="1" applyNumberFormat="1">
      <alignment vertical="bottom"/>
    </xf>
    <xf borderId="23" fillId="0" fontId="3" numFmtId="168" xfId="0" applyAlignment="1" applyBorder="1" applyFont="1" applyNumberFormat="1">
      <alignment vertical="bottom"/>
    </xf>
    <xf borderId="0" fillId="4" fontId="3" numFmtId="168" xfId="0" applyAlignment="1" applyFont="1" applyNumberFormat="1">
      <alignment horizontal="right" vertical="bottom"/>
    </xf>
    <xf borderId="25" fillId="0" fontId="6" numFmtId="168" xfId="0" applyAlignment="1" applyBorder="1" applyFont="1" applyNumberFormat="1">
      <alignment horizontal="right" vertical="bottom"/>
    </xf>
    <xf borderId="26" fillId="0" fontId="6" numFmtId="168" xfId="0" applyAlignment="1" applyBorder="1" applyFont="1" applyNumberFormat="1">
      <alignment horizontal="right" vertical="bottom"/>
    </xf>
    <xf borderId="27" fillId="0" fontId="6" numFmtId="168" xfId="0" applyAlignment="1" applyBorder="1" applyFont="1" applyNumberFormat="1">
      <alignment horizontal="right" vertical="bottom"/>
    </xf>
    <xf borderId="28" fillId="0" fontId="6" numFmtId="168" xfId="0" applyAlignment="1" applyBorder="1" applyFont="1" applyNumberFormat="1">
      <alignment horizontal="right" vertical="bottom"/>
    </xf>
    <xf borderId="29" fillId="0" fontId="6" numFmtId="168" xfId="0" applyAlignment="1" applyBorder="1" applyFont="1" applyNumberFormat="1">
      <alignment vertical="bottom"/>
    </xf>
    <xf borderId="0" fillId="0" fontId="6" numFmtId="169" xfId="0" applyAlignment="1" applyFont="1" applyNumberFormat="1">
      <alignment vertical="bottom"/>
    </xf>
    <xf borderId="0" fillId="0" fontId="1" numFmtId="170" xfId="0" applyAlignment="1" applyFont="1" applyNumberFormat="1">
      <alignment readingOrder="0"/>
    </xf>
    <xf borderId="0" fillId="0" fontId="1" numFmtId="17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24.0"/>
    <col customWidth="1" min="7" max="7" width="13.75"/>
  </cols>
  <sheetData>
    <row r="1">
      <c r="B1" s="1"/>
      <c r="D1" s="1"/>
    </row>
    <row r="2">
      <c r="B2" s="1" t="s">
        <v>0</v>
      </c>
      <c r="C2" s="2">
        <v>750.0</v>
      </c>
      <c r="D2" s="1" t="s">
        <v>1</v>
      </c>
      <c r="H2" s="3"/>
    </row>
    <row r="3">
      <c r="B3" s="1" t="s">
        <v>2</v>
      </c>
      <c r="C3" s="2">
        <v>1.2</v>
      </c>
      <c r="H3" s="4"/>
    </row>
    <row r="4">
      <c r="B4" s="1" t="s">
        <v>3</v>
      </c>
      <c r="C4" s="5">
        <f>C2/C3</f>
        <v>625</v>
      </c>
      <c r="D4" s="1" t="s">
        <v>1</v>
      </c>
      <c r="H4" s="4"/>
    </row>
    <row r="5">
      <c r="B5" s="1" t="s">
        <v>4</v>
      </c>
      <c r="C5" s="6">
        <f>12000000/1.17</f>
        <v>10256410.26</v>
      </c>
      <c r="D5" s="1" t="s">
        <v>5</v>
      </c>
    </row>
    <row r="6">
      <c r="B6" s="1" t="s">
        <v>6</v>
      </c>
      <c r="C6" s="3">
        <f>C4*C5</f>
        <v>6410256410</v>
      </c>
    </row>
    <row r="7">
      <c r="D7" s="1"/>
      <c r="E7" s="1"/>
    </row>
    <row r="8">
      <c r="B8" s="1" t="s">
        <v>7</v>
      </c>
      <c r="C8" s="3">
        <f>'Cost Plan'!E61/C4</f>
        <v>9036837.179</v>
      </c>
      <c r="D8" s="1" t="s">
        <v>1</v>
      </c>
      <c r="E8" s="1"/>
    </row>
    <row r="9">
      <c r="B9" s="1" t="s">
        <v>8</v>
      </c>
      <c r="C9" s="3">
        <f>'Cost Plan'!E61</f>
        <v>5648023237</v>
      </c>
      <c r="D9" s="1" t="s">
        <v>5</v>
      </c>
      <c r="E9" s="1"/>
    </row>
    <row r="10">
      <c r="B10" s="1"/>
      <c r="C10" s="3"/>
      <c r="D10" s="7"/>
      <c r="E10" s="1"/>
    </row>
    <row r="11">
      <c r="B11" s="1" t="s">
        <v>9</v>
      </c>
      <c r="C11" s="6">
        <v>3950000.0</v>
      </c>
      <c r="D11" s="7">
        <v>45809.0</v>
      </c>
      <c r="E11" s="1" t="s">
        <v>10</v>
      </c>
    </row>
    <row r="12">
      <c r="B12" s="1" t="s">
        <v>11</v>
      </c>
      <c r="C12" s="6"/>
      <c r="D12" s="7">
        <v>45809.0</v>
      </c>
      <c r="E12" s="1" t="s">
        <v>10</v>
      </c>
    </row>
    <row r="13">
      <c r="B13" s="1" t="s">
        <v>12</v>
      </c>
      <c r="C13" s="6">
        <v>1.0E7</v>
      </c>
      <c r="D13" s="7">
        <v>45809.0</v>
      </c>
      <c r="E13" s="1" t="s">
        <v>10</v>
      </c>
    </row>
    <row r="14">
      <c r="B14" s="1" t="s">
        <v>13</v>
      </c>
      <c r="C14" s="6">
        <v>2.4E7</v>
      </c>
      <c r="D14" s="7">
        <v>45809.0</v>
      </c>
      <c r="E14" s="1" t="s">
        <v>10</v>
      </c>
    </row>
    <row r="15">
      <c r="B15" s="1" t="s">
        <v>14</v>
      </c>
      <c r="C15" s="6">
        <v>3.7E7</v>
      </c>
      <c r="D15" s="7">
        <v>45809.0</v>
      </c>
      <c r="E15" s="1" t="s">
        <v>10</v>
      </c>
    </row>
    <row r="16">
      <c r="B16" s="1" t="s">
        <v>15</v>
      </c>
      <c r="C16" s="6">
        <v>2.3E7</v>
      </c>
      <c r="D16" s="7">
        <v>45809.0</v>
      </c>
      <c r="E16" s="1" t="s">
        <v>10</v>
      </c>
    </row>
    <row r="17">
      <c r="B17" s="1" t="s">
        <v>16</v>
      </c>
      <c r="C17" s="6">
        <f>sum(C11:C16)*0.1</f>
        <v>9795000</v>
      </c>
      <c r="D17" s="7">
        <v>45809.0</v>
      </c>
      <c r="E17" s="1" t="s">
        <v>10</v>
      </c>
    </row>
    <row r="18">
      <c r="B18" s="1" t="s">
        <v>17</v>
      </c>
      <c r="C18" s="3">
        <f>sum(C11:C17)</f>
        <v>107745000</v>
      </c>
      <c r="D18" s="1"/>
    </row>
    <row r="20">
      <c r="B20" s="1" t="s">
        <v>18</v>
      </c>
      <c r="C20" s="8">
        <v>112.5</v>
      </c>
      <c r="D20" s="1" t="s">
        <v>19</v>
      </c>
      <c r="F20" s="9">
        <f>C20/0.75</f>
        <v>150</v>
      </c>
    </row>
    <row r="21">
      <c r="B21" s="1" t="s">
        <v>20</v>
      </c>
      <c r="C21" s="3">
        <f>C20*12*1000</f>
        <v>1350000</v>
      </c>
      <c r="D21" s="1" t="s">
        <v>21</v>
      </c>
    </row>
    <row r="22">
      <c r="B22" s="1" t="s">
        <v>22</v>
      </c>
      <c r="C22" s="10">
        <v>0.03</v>
      </c>
    </row>
    <row r="23">
      <c r="B23" s="1" t="s">
        <v>23</v>
      </c>
    </row>
    <row r="24">
      <c r="B24" s="1" t="s">
        <v>24</v>
      </c>
      <c r="C24" s="10">
        <v>0.25</v>
      </c>
      <c r="E24" s="4">
        <f>C28/625</f>
        <v>337500</v>
      </c>
    </row>
    <row r="26">
      <c r="C26" s="11">
        <v>1.0</v>
      </c>
      <c r="D26" s="11">
        <v>2.0</v>
      </c>
      <c r="E26" s="11">
        <v>3.0</v>
      </c>
      <c r="F26" s="11">
        <v>4.0</v>
      </c>
      <c r="G26" s="11">
        <v>5.0</v>
      </c>
      <c r="H26" s="11">
        <v>6.0</v>
      </c>
      <c r="I26" s="11">
        <v>7.0</v>
      </c>
      <c r="J26" s="11">
        <v>8.0</v>
      </c>
      <c r="K26" s="11">
        <v>9.0</v>
      </c>
      <c r="L26" s="11">
        <v>10.0</v>
      </c>
      <c r="M26" s="11">
        <v>11.0</v>
      </c>
      <c r="N26" s="11">
        <v>12.0</v>
      </c>
      <c r="O26" s="11">
        <v>13.0</v>
      </c>
      <c r="P26" s="11">
        <v>14.0</v>
      </c>
      <c r="Q26" s="11">
        <v>15.0</v>
      </c>
    </row>
    <row r="27">
      <c r="B27" s="1" t="s">
        <v>25</v>
      </c>
      <c r="C27" s="3">
        <f>C21*C4+C23</f>
        <v>843750000</v>
      </c>
      <c r="D27" s="3">
        <f t="shared" ref="D27:Q27" si="1">C27*(1+$C$22)</f>
        <v>869062500</v>
      </c>
      <c r="E27" s="3">
        <f t="shared" si="1"/>
        <v>895134375</v>
      </c>
      <c r="F27" s="3">
        <f t="shared" si="1"/>
        <v>921988406.3</v>
      </c>
      <c r="G27" s="3">
        <f t="shared" si="1"/>
        <v>949648058.4</v>
      </c>
      <c r="H27" s="3">
        <f t="shared" si="1"/>
        <v>978137500.2</v>
      </c>
      <c r="I27" s="3">
        <f t="shared" si="1"/>
        <v>1007481625</v>
      </c>
      <c r="J27" s="3">
        <f t="shared" si="1"/>
        <v>1037706074</v>
      </c>
      <c r="K27" s="3">
        <f t="shared" si="1"/>
        <v>1068837256</v>
      </c>
      <c r="L27" s="3">
        <f t="shared" si="1"/>
        <v>1100902374</v>
      </c>
      <c r="M27" s="3">
        <f t="shared" si="1"/>
        <v>1133929445</v>
      </c>
      <c r="N27" s="3">
        <f t="shared" si="1"/>
        <v>1167947328</v>
      </c>
      <c r="O27" s="3">
        <f t="shared" si="1"/>
        <v>1202985748</v>
      </c>
      <c r="P27" s="3">
        <f t="shared" si="1"/>
        <v>1239075321</v>
      </c>
      <c r="Q27" s="3">
        <f t="shared" si="1"/>
        <v>1276247580</v>
      </c>
    </row>
    <row r="28">
      <c r="B28" s="1" t="s">
        <v>26</v>
      </c>
      <c r="C28" s="4">
        <f t="shared" ref="C28:Q28" si="2">C27*$C$24</f>
        <v>210937500</v>
      </c>
      <c r="D28" s="4">
        <f t="shared" si="2"/>
        <v>217265625</v>
      </c>
      <c r="E28" s="4">
        <f t="shared" si="2"/>
        <v>223783593.8</v>
      </c>
      <c r="F28" s="4">
        <f t="shared" si="2"/>
        <v>230497101.6</v>
      </c>
      <c r="G28" s="4">
        <f t="shared" si="2"/>
        <v>237412014.6</v>
      </c>
      <c r="H28" s="4">
        <f t="shared" si="2"/>
        <v>244534375</v>
      </c>
      <c r="I28" s="4">
        <f t="shared" si="2"/>
        <v>251870406.3</v>
      </c>
      <c r="J28" s="4">
        <f t="shared" si="2"/>
        <v>259426518.5</v>
      </c>
      <c r="K28" s="4">
        <f t="shared" si="2"/>
        <v>267209314</v>
      </c>
      <c r="L28" s="4">
        <f t="shared" si="2"/>
        <v>275225593.5</v>
      </c>
      <c r="M28" s="4">
        <f t="shared" si="2"/>
        <v>283482361.3</v>
      </c>
      <c r="N28" s="4">
        <f t="shared" si="2"/>
        <v>291986832.1</v>
      </c>
      <c r="O28" s="4">
        <f t="shared" si="2"/>
        <v>300746437.1</v>
      </c>
      <c r="P28" s="4">
        <f t="shared" si="2"/>
        <v>309768830.2</v>
      </c>
      <c r="Q28" s="4">
        <f t="shared" si="2"/>
        <v>319061895.1</v>
      </c>
    </row>
    <row r="29">
      <c r="B29" s="1" t="s">
        <v>27</v>
      </c>
      <c r="C29" s="4">
        <f t="shared" ref="C29:Q29" si="3">C27-C28</f>
        <v>632812500</v>
      </c>
      <c r="D29" s="4">
        <f t="shared" si="3"/>
        <v>651796875</v>
      </c>
      <c r="E29" s="4">
        <f t="shared" si="3"/>
        <v>671350781.3</v>
      </c>
      <c r="F29" s="4">
        <f t="shared" si="3"/>
        <v>691491304.7</v>
      </c>
      <c r="G29" s="4">
        <f t="shared" si="3"/>
        <v>712236043.8</v>
      </c>
      <c r="H29" s="4">
        <f t="shared" si="3"/>
        <v>733603125.1</v>
      </c>
      <c r="I29" s="4">
        <f t="shared" si="3"/>
        <v>755611218.9</v>
      </c>
      <c r="J29" s="4">
        <f t="shared" si="3"/>
        <v>778279555.5</v>
      </c>
      <c r="K29" s="4">
        <f t="shared" si="3"/>
        <v>801627942.1</v>
      </c>
      <c r="L29" s="4">
        <f t="shared" si="3"/>
        <v>825676780.4</v>
      </c>
      <c r="M29" s="4">
        <f t="shared" si="3"/>
        <v>850447083.8</v>
      </c>
      <c r="N29" s="4">
        <f t="shared" si="3"/>
        <v>875960496.3</v>
      </c>
      <c r="O29" s="4">
        <f t="shared" si="3"/>
        <v>902239311.2</v>
      </c>
      <c r="P29" s="4">
        <f t="shared" si="3"/>
        <v>929306490.5</v>
      </c>
      <c r="Q29" s="4">
        <f t="shared" si="3"/>
        <v>957185685.3</v>
      </c>
    </row>
    <row r="31">
      <c r="B31" s="1" t="s">
        <v>28</v>
      </c>
      <c r="C31" s="4">
        <f>sum(C29:Q29)</f>
        <v>11769625194</v>
      </c>
    </row>
    <row r="33">
      <c r="A33" s="12"/>
      <c r="B33" s="13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32.5"/>
    <col customWidth="1" min="3" max="3" width="13.13"/>
    <col customWidth="1" min="4" max="5" width="12.75"/>
    <col customWidth="1" hidden="1" min="6" max="6" width="14.13"/>
    <col customWidth="1" min="7" max="7" width="6.63"/>
    <col customWidth="1" min="8" max="8" width="4.0"/>
    <col customWidth="1" min="9" max="9" width="10.5"/>
    <col customWidth="1" min="10" max="10" width="9.5"/>
    <col customWidth="1" min="11" max="11" width="9.63"/>
    <col customWidth="1" min="12" max="12" width="11.25"/>
    <col customWidth="1" min="13" max="28" width="11.38"/>
    <col customWidth="1" min="29" max="30" width="12.75"/>
    <col customWidth="1" min="31" max="31" width="3.38"/>
    <col customWidth="1" min="32" max="33" width="12.75"/>
    <col customWidth="1" min="35" max="35" width="6.5"/>
    <col customWidth="1" min="36" max="36" width="6.88"/>
  </cols>
  <sheetData>
    <row r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</row>
    <row r="3">
      <c r="A3" s="14"/>
      <c r="B3" s="14"/>
      <c r="C3" s="14"/>
      <c r="D3" s="14"/>
      <c r="E3" s="14"/>
      <c r="F3" s="14"/>
      <c r="G3" s="14"/>
      <c r="H3" s="14"/>
      <c r="I3" s="15">
        <v>45778.0</v>
      </c>
      <c r="J3" s="15">
        <v>45809.0</v>
      </c>
      <c r="K3" s="15">
        <v>45839.0</v>
      </c>
      <c r="L3" s="15">
        <v>45870.0</v>
      </c>
      <c r="M3" s="15">
        <v>45901.0</v>
      </c>
      <c r="N3" s="15">
        <v>45931.0</v>
      </c>
      <c r="O3" s="15">
        <v>45962.0</v>
      </c>
      <c r="P3" s="15">
        <v>45992.0</v>
      </c>
      <c r="Q3" s="15">
        <v>46023.0</v>
      </c>
      <c r="R3" s="15">
        <v>46054.0</v>
      </c>
      <c r="S3" s="15">
        <v>46082.0</v>
      </c>
      <c r="T3" s="15">
        <v>46113.0</v>
      </c>
      <c r="U3" s="15">
        <v>46143.0</v>
      </c>
      <c r="V3" s="15">
        <v>46174.0</v>
      </c>
      <c r="W3" s="15">
        <v>46204.0</v>
      </c>
      <c r="X3" s="15">
        <v>46235.0</v>
      </c>
      <c r="Y3" s="15">
        <v>46266.0</v>
      </c>
      <c r="Z3" s="15">
        <v>46296.0</v>
      </c>
      <c r="AA3" s="15">
        <v>46327.0</v>
      </c>
      <c r="AB3" s="15">
        <v>46357.0</v>
      </c>
      <c r="AC3" s="15">
        <v>46388.0</v>
      </c>
      <c r="AD3" s="15">
        <v>46419.0</v>
      </c>
      <c r="AE3" s="16"/>
      <c r="AF3" s="15">
        <v>46478.0</v>
      </c>
      <c r="AG3" s="15">
        <f>AD3+365</f>
        <v>46784</v>
      </c>
      <c r="AH3" s="16"/>
      <c r="AI3" s="17"/>
      <c r="AJ3" s="17"/>
      <c r="AK3" s="14"/>
      <c r="AL3" s="14"/>
      <c r="AM3" s="14"/>
    </row>
    <row r="4">
      <c r="A4" s="14"/>
      <c r="B4" s="14"/>
      <c r="C4" s="18">
        <v>38.4</v>
      </c>
      <c r="D4" s="19"/>
      <c r="E4" s="19">
        <f>Model!C4</f>
        <v>625</v>
      </c>
      <c r="F4" s="20"/>
      <c r="G4" s="14" t="s">
        <v>1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6"/>
      <c r="AF4" s="16"/>
      <c r="AG4" s="14"/>
      <c r="AH4" s="14"/>
      <c r="AI4" s="14"/>
      <c r="AJ4" s="14"/>
      <c r="AK4" s="14"/>
      <c r="AL4" s="14"/>
      <c r="AM4" s="14"/>
    </row>
    <row r="5">
      <c r="A5" s="14"/>
      <c r="B5" s="21"/>
      <c r="C5" s="21"/>
      <c r="D5" s="21"/>
      <c r="E5" s="21"/>
      <c r="F5" s="21"/>
      <c r="G5" s="14"/>
      <c r="H5" s="14"/>
      <c r="I5" s="22" t="s">
        <v>29</v>
      </c>
      <c r="J5" s="23"/>
      <c r="K5" s="24"/>
      <c r="L5" s="25" t="s">
        <v>13</v>
      </c>
      <c r="M5" s="23"/>
      <c r="N5" s="23"/>
      <c r="O5" s="23"/>
      <c r="P5" s="23"/>
      <c r="Q5" s="24"/>
      <c r="R5" s="26" t="s">
        <v>30</v>
      </c>
      <c r="S5" s="23"/>
      <c r="T5" s="23"/>
      <c r="U5" s="23"/>
      <c r="V5" s="23"/>
      <c r="W5" s="23"/>
      <c r="X5" s="23"/>
      <c r="Y5" s="23"/>
      <c r="Z5" s="23"/>
      <c r="AA5" s="23"/>
      <c r="AB5" s="23"/>
      <c r="AC5" s="24"/>
      <c r="AD5" s="27" t="s">
        <v>31</v>
      </c>
      <c r="AE5" s="28"/>
      <c r="AF5" s="29" t="s">
        <v>32</v>
      </c>
      <c r="AG5" s="29" t="s">
        <v>33</v>
      </c>
      <c r="AH5" s="14"/>
      <c r="AI5" s="14"/>
      <c r="AJ5" s="14"/>
      <c r="AK5" s="14"/>
      <c r="AL5" s="14"/>
      <c r="AM5" s="14"/>
    </row>
    <row r="6">
      <c r="A6" s="14"/>
      <c r="B6" s="14"/>
      <c r="C6" s="14"/>
      <c r="D6" s="14"/>
      <c r="E6" s="14"/>
      <c r="F6" s="14"/>
      <c r="G6" s="14"/>
      <c r="H6" s="14"/>
      <c r="I6" s="30"/>
      <c r="J6" s="14"/>
      <c r="K6" s="31"/>
      <c r="L6" s="30"/>
      <c r="M6" s="14"/>
      <c r="N6" s="14"/>
      <c r="O6" s="14"/>
      <c r="P6" s="14"/>
      <c r="Q6" s="31"/>
      <c r="R6" s="32">
        <v>1.0</v>
      </c>
      <c r="S6" s="33">
        <v>2.0</v>
      </c>
      <c r="T6" s="33">
        <v>3.0</v>
      </c>
      <c r="U6" s="33">
        <v>4.0</v>
      </c>
      <c r="V6" s="33">
        <v>5.0</v>
      </c>
      <c r="W6" s="33">
        <v>6.0</v>
      </c>
      <c r="X6" s="33">
        <v>7.0</v>
      </c>
      <c r="Y6" s="33">
        <v>8.0</v>
      </c>
      <c r="Z6" s="33">
        <v>9.0</v>
      </c>
      <c r="AA6" s="33">
        <v>10.0</v>
      </c>
      <c r="AB6" s="33">
        <v>11.0</v>
      </c>
      <c r="AC6" s="34">
        <v>12.0</v>
      </c>
      <c r="AD6" s="35">
        <v>13.0</v>
      </c>
      <c r="AE6" s="30"/>
      <c r="AF6" s="35">
        <v>15.0</v>
      </c>
      <c r="AG6" s="35"/>
      <c r="AH6" s="14"/>
      <c r="AI6" s="14"/>
      <c r="AJ6" s="14"/>
      <c r="AK6" s="14"/>
      <c r="AL6" s="14"/>
      <c r="AM6" s="14"/>
    </row>
    <row r="7">
      <c r="A7" s="14" t="s">
        <v>34</v>
      </c>
      <c r="B7" s="21"/>
      <c r="C7" s="36" t="s">
        <v>35</v>
      </c>
      <c r="D7" s="36" t="s">
        <v>36</v>
      </c>
      <c r="E7" s="36" t="s">
        <v>37</v>
      </c>
      <c r="F7" s="37" t="s">
        <v>38</v>
      </c>
      <c r="G7" s="38" t="s">
        <v>10</v>
      </c>
      <c r="H7" s="14"/>
      <c r="I7" s="39">
        <v>1.0</v>
      </c>
      <c r="J7" s="40">
        <v>2.0</v>
      </c>
      <c r="K7" s="41">
        <v>3.0</v>
      </c>
      <c r="L7" s="39">
        <v>4.0</v>
      </c>
      <c r="M7" s="42">
        <v>5.0</v>
      </c>
      <c r="N7" s="40">
        <v>6.0</v>
      </c>
      <c r="O7" s="42">
        <v>7.0</v>
      </c>
      <c r="P7" s="40">
        <v>8.0</v>
      </c>
      <c r="Q7" s="41">
        <v>9.0</v>
      </c>
      <c r="R7" s="43">
        <v>10.0</v>
      </c>
      <c r="S7" s="44">
        <v>11.0</v>
      </c>
      <c r="T7" s="44">
        <v>12.0</v>
      </c>
      <c r="U7" s="44">
        <v>13.0</v>
      </c>
      <c r="V7" s="44">
        <v>14.0</v>
      </c>
      <c r="W7" s="44">
        <v>15.0</v>
      </c>
      <c r="X7" s="44">
        <v>16.0</v>
      </c>
      <c r="Y7" s="44">
        <v>17.0</v>
      </c>
      <c r="Z7" s="44">
        <v>18.0</v>
      </c>
      <c r="AA7" s="44">
        <v>19.0</v>
      </c>
      <c r="AB7" s="44">
        <v>20.0</v>
      </c>
      <c r="AC7" s="45">
        <v>21.0</v>
      </c>
      <c r="AD7" s="46">
        <v>22.0</v>
      </c>
      <c r="AE7" s="47"/>
      <c r="AF7" s="46">
        <v>24.0</v>
      </c>
      <c r="AG7" s="46">
        <f>AD7+12</f>
        <v>34</v>
      </c>
      <c r="AH7" s="14"/>
      <c r="AI7" s="14"/>
      <c r="AJ7" s="14"/>
      <c r="AK7" s="14"/>
      <c r="AL7" s="14"/>
      <c r="AM7" s="14"/>
    </row>
    <row r="8">
      <c r="A8" s="48">
        <f t="shared" ref="A8:A27" si="3">sum(I8:AG8)-E8</f>
        <v>0</v>
      </c>
      <c r="B8" s="21" t="s">
        <v>39</v>
      </c>
      <c r="C8" s="48">
        <v>1584000.0</v>
      </c>
      <c r="D8" s="49">
        <f t="shared" ref="D8:D27" si="4">C8/1.17</f>
        <v>1353846.154</v>
      </c>
      <c r="E8" s="49">
        <f t="shared" ref="E8:E19" si="5">D8/$C$4*$E$4</f>
        <v>22035256.41</v>
      </c>
      <c r="F8" s="48">
        <f t="shared" ref="F8:F19" si="6">E8-sum(I8:K8)-AG8</f>
        <v>21484375</v>
      </c>
      <c r="G8" s="38">
        <v>10.0</v>
      </c>
      <c r="H8" s="14"/>
      <c r="I8" s="50"/>
      <c r="J8" s="51"/>
      <c r="K8" s="52"/>
      <c r="L8" s="53"/>
      <c r="M8" s="54"/>
      <c r="N8" s="54"/>
      <c r="O8" s="54"/>
      <c r="P8" s="54"/>
      <c r="Q8" s="55"/>
      <c r="R8" s="53"/>
      <c r="S8" s="54"/>
      <c r="T8" s="54"/>
      <c r="U8" s="56">
        <f t="shared" ref="U8:AC8" si="1">$F8/$G8</f>
        <v>2148437.5</v>
      </c>
      <c r="V8" s="56">
        <f t="shared" si="1"/>
        <v>2148437.5</v>
      </c>
      <c r="W8" s="56">
        <f t="shared" si="1"/>
        <v>2148437.5</v>
      </c>
      <c r="X8" s="56">
        <f t="shared" si="1"/>
        <v>2148437.5</v>
      </c>
      <c r="Y8" s="56">
        <f t="shared" si="1"/>
        <v>2148437.5</v>
      </c>
      <c r="Z8" s="56">
        <f t="shared" si="1"/>
        <v>2148437.5</v>
      </c>
      <c r="AA8" s="56">
        <f t="shared" si="1"/>
        <v>2148437.5</v>
      </c>
      <c r="AB8" s="56">
        <f t="shared" si="1"/>
        <v>2148437.5</v>
      </c>
      <c r="AC8" s="57">
        <f t="shared" si="1"/>
        <v>2148437.5</v>
      </c>
      <c r="AD8" s="58">
        <f t="shared" ref="AD8:AD10" si="8">$F8/$G8-AF8</f>
        <v>1597556.09</v>
      </c>
      <c r="AE8" s="59"/>
      <c r="AF8" s="58">
        <f t="shared" ref="AF8:AG8" si="2">$E8*0.025</f>
        <v>550881.4103</v>
      </c>
      <c r="AG8" s="58">
        <f t="shared" si="2"/>
        <v>550881.4103</v>
      </c>
      <c r="AH8" s="14"/>
      <c r="AI8" s="14"/>
      <c r="AJ8" s="14"/>
      <c r="AK8" s="14"/>
      <c r="AL8" s="60"/>
      <c r="AM8" s="60"/>
    </row>
    <row r="9">
      <c r="A9" s="48">
        <f t="shared" si="3"/>
        <v>0</v>
      </c>
      <c r="B9" s="21" t="s">
        <v>40</v>
      </c>
      <c r="C9" s="48">
        <v>1606634.0</v>
      </c>
      <c r="D9" s="49">
        <f t="shared" si="4"/>
        <v>1373191.453</v>
      </c>
      <c r="E9" s="49">
        <f t="shared" si="5"/>
        <v>22350121.31</v>
      </c>
      <c r="F9" s="48">
        <f t="shared" si="6"/>
        <v>21791368.27</v>
      </c>
      <c r="G9" s="38">
        <v>13.0</v>
      </c>
      <c r="H9" s="14"/>
      <c r="I9" s="53"/>
      <c r="J9" s="54"/>
      <c r="K9" s="55"/>
      <c r="L9" s="53"/>
      <c r="M9" s="54"/>
      <c r="N9" s="54"/>
      <c r="O9" s="54"/>
      <c r="P9" s="54"/>
      <c r="Q9" s="55"/>
      <c r="R9" s="61">
        <f t="shared" ref="R9:AC9" si="7">$F9/$G9-sum($O9:$Q9)</f>
        <v>1676259.098</v>
      </c>
      <c r="S9" s="56">
        <f t="shared" si="7"/>
        <v>1676259.098</v>
      </c>
      <c r="T9" s="56">
        <f t="shared" si="7"/>
        <v>1676259.098</v>
      </c>
      <c r="U9" s="56">
        <f t="shared" si="7"/>
        <v>1676259.098</v>
      </c>
      <c r="V9" s="56">
        <f t="shared" si="7"/>
        <v>1676259.098</v>
      </c>
      <c r="W9" s="56">
        <f t="shared" si="7"/>
        <v>1676259.098</v>
      </c>
      <c r="X9" s="56">
        <f t="shared" si="7"/>
        <v>1676259.098</v>
      </c>
      <c r="Y9" s="56">
        <f t="shared" si="7"/>
        <v>1676259.098</v>
      </c>
      <c r="Z9" s="56">
        <f t="shared" si="7"/>
        <v>1676259.098</v>
      </c>
      <c r="AA9" s="56">
        <f t="shared" si="7"/>
        <v>1676259.098</v>
      </c>
      <c r="AB9" s="56">
        <f t="shared" si="7"/>
        <v>1676259.098</v>
      </c>
      <c r="AC9" s="57">
        <f t="shared" si="7"/>
        <v>1676259.098</v>
      </c>
      <c r="AD9" s="58">
        <f t="shared" si="8"/>
        <v>1117506.065</v>
      </c>
      <c r="AE9" s="59"/>
      <c r="AF9" s="58">
        <f t="shared" ref="AF9:AG9" si="9">$E9*0.025</f>
        <v>558753.0326</v>
      </c>
      <c r="AG9" s="58">
        <f t="shared" si="9"/>
        <v>558753.0326</v>
      </c>
      <c r="AH9" s="14"/>
      <c r="AI9" s="14"/>
      <c r="AJ9" s="14"/>
      <c r="AK9" s="14"/>
      <c r="AL9" s="60"/>
      <c r="AM9" s="60"/>
    </row>
    <row r="10">
      <c r="A10" s="48">
        <f t="shared" si="3"/>
        <v>0</v>
      </c>
      <c r="B10" s="21" t="s">
        <v>41</v>
      </c>
      <c r="C10" s="48">
        <v>2.191780822E7</v>
      </c>
      <c r="D10" s="49">
        <f t="shared" si="4"/>
        <v>18733169.42</v>
      </c>
      <c r="E10" s="49">
        <f t="shared" si="5"/>
        <v>304901846</v>
      </c>
      <c r="F10" s="48">
        <f t="shared" si="6"/>
        <v>297279299.9</v>
      </c>
      <c r="G10" s="38">
        <v>13.0</v>
      </c>
      <c r="H10" s="14"/>
      <c r="I10" s="53"/>
      <c r="J10" s="54"/>
      <c r="K10" s="55"/>
      <c r="L10" s="53"/>
      <c r="M10" s="54"/>
      <c r="N10" s="54"/>
      <c r="O10" s="54"/>
      <c r="P10" s="54"/>
      <c r="Q10" s="55"/>
      <c r="R10" s="61">
        <f t="shared" ref="R10:AC10" si="10">$F10/$G10-sum($O10:$Q10)</f>
        <v>22867638.45</v>
      </c>
      <c r="S10" s="56">
        <f t="shared" si="10"/>
        <v>22867638.45</v>
      </c>
      <c r="T10" s="56">
        <f t="shared" si="10"/>
        <v>22867638.45</v>
      </c>
      <c r="U10" s="56">
        <f t="shared" si="10"/>
        <v>22867638.45</v>
      </c>
      <c r="V10" s="56">
        <f t="shared" si="10"/>
        <v>22867638.45</v>
      </c>
      <c r="W10" s="56">
        <f t="shared" si="10"/>
        <v>22867638.45</v>
      </c>
      <c r="X10" s="56">
        <f t="shared" si="10"/>
        <v>22867638.45</v>
      </c>
      <c r="Y10" s="56">
        <f t="shared" si="10"/>
        <v>22867638.45</v>
      </c>
      <c r="Z10" s="56">
        <f t="shared" si="10"/>
        <v>22867638.45</v>
      </c>
      <c r="AA10" s="56">
        <f t="shared" si="10"/>
        <v>22867638.45</v>
      </c>
      <c r="AB10" s="56">
        <f t="shared" si="10"/>
        <v>22867638.45</v>
      </c>
      <c r="AC10" s="57">
        <f t="shared" si="10"/>
        <v>22867638.45</v>
      </c>
      <c r="AD10" s="58">
        <f t="shared" si="8"/>
        <v>15245092.3</v>
      </c>
      <c r="AE10" s="59"/>
      <c r="AF10" s="58">
        <f t="shared" ref="AF10:AG10" si="11">$E10*0.025</f>
        <v>7622546.15</v>
      </c>
      <c r="AG10" s="58">
        <f t="shared" si="11"/>
        <v>7622546.15</v>
      </c>
      <c r="AH10" s="14"/>
      <c r="AI10" s="14"/>
      <c r="AJ10" s="14"/>
      <c r="AK10" s="14"/>
      <c r="AL10" s="60"/>
      <c r="AM10" s="60"/>
    </row>
    <row r="11">
      <c r="A11" s="48">
        <f t="shared" si="3"/>
        <v>-0.000000001862645149</v>
      </c>
      <c r="B11" s="21" t="s">
        <v>42</v>
      </c>
      <c r="C11" s="48">
        <v>750000.0</v>
      </c>
      <c r="D11" s="49">
        <f t="shared" si="4"/>
        <v>641025.641</v>
      </c>
      <c r="E11" s="49">
        <f t="shared" si="5"/>
        <v>10433360.04</v>
      </c>
      <c r="F11" s="48">
        <f t="shared" si="6"/>
        <v>10403360.04</v>
      </c>
      <c r="G11" s="38">
        <v>8.0</v>
      </c>
      <c r="H11" s="14"/>
      <c r="I11" s="61">
        <v>10000.0</v>
      </c>
      <c r="J11" s="56">
        <v>10000.0</v>
      </c>
      <c r="K11" s="57">
        <v>10000.0</v>
      </c>
      <c r="L11" s="61">
        <f t="shared" ref="L11:S11" si="12">$F11/$G11</f>
        <v>1300420.005</v>
      </c>
      <c r="M11" s="56">
        <f t="shared" si="12"/>
        <v>1300420.005</v>
      </c>
      <c r="N11" s="56">
        <f t="shared" si="12"/>
        <v>1300420.005</v>
      </c>
      <c r="O11" s="56">
        <f t="shared" si="12"/>
        <v>1300420.005</v>
      </c>
      <c r="P11" s="56">
        <f t="shared" si="12"/>
        <v>1300420.005</v>
      </c>
      <c r="Q11" s="57">
        <f t="shared" si="12"/>
        <v>1300420.005</v>
      </c>
      <c r="R11" s="61">
        <f t="shared" si="12"/>
        <v>1300420.005</v>
      </c>
      <c r="S11" s="56">
        <f t="shared" si="12"/>
        <v>1300420.005</v>
      </c>
      <c r="T11" s="54"/>
      <c r="U11" s="54"/>
      <c r="V11" s="54"/>
      <c r="W11" s="54"/>
      <c r="X11" s="54"/>
      <c r="Y11" s="54"/>
      <c r="Z11" s="54"/>
      <c r="AA11" s="54"/>
      <c r="AB11" s="54"/>
      <c r="AC11" s="55"/>
      <c r="AD11" s="62"/>
      <c r="AE11" s="59"/>
      <c r="AF11" s="62"/>
      <c r="AG11" s="62"/>
      <c r="AH11" s="14"/>
      <c r="AI11" s="14"/>
      <c r="AJ11" s="14"/>
      <c r="AK11" s="14"/>
      <c r="AL11" s="60"/>
      <c r="AM11" s="60"/>
    </row>
    <row r="12">
      <c r="A12" s="48">
        <f t="shared" si="3"/>
        <v>-0.0000004768371582</v>
      </c>
      <c r="B12" s="21" t="s">
        <v>43</v>
      </c>
      <c r="C12" s="48">
        <v>1.536E8</v>
      </c>
      <c r="D12" s="49">
        <f t="shared" si="4"/>
        <v>131282051.3</v>
      </c>
      <c r="E12" s="49">
        <f t="shared" si="5"/>
        <v>2136752137</v>
      </c>
      <c r="F12" s="48">
        <f t="shared" si="6"/>
        <v>2083033333</v>
      </c>
      <c r="G12" s="38">
        <v>13.0</v>
      </c>
      <c r="H12" s="14"/>
      <c r="I12" s="61">
        <v>100000.0</v>
      </c>
      <c r="J12" s="56">
        <v>100000.0</v>
      </c>
      <c r="K12" s="57">
        <v>100000.0</v>
      </c>
      <c r="L12" s="61">
        <f t="shared" ref="L12:Q12" si="13">$C12/$G12/12</f>
        <v>984615.3846</v>
      </c>
      <c r="M12" s="56">
        <f t="shared" si="13"/>
        <v>984615.3846</v>
      </c>
      <c r="N12" s="56">
        <f t="shared" si="13"/>
        <v>984615.3846</v>
      </c>
      <c r="O12" s="56">
        <f t="shared" si="13"/>
        <v>984615.3846</v>
      </c>
      <c r="P12" s="56">
        <f t="shared" si="13"/>
        <v>984615.3846</v>
      </c>
      <c r="Q12" s="57">
        <f t="shared" si="13"/>
        <v>984615.3846</v>
      </c>
      <c r="R12" s="61">
        <f t="shared" ref="R12:AB12" si="14">($E12-(sum($I12:$Q12,$AF12:$AG12,$AC12:$AD12)))/($G12-2)</f>
        <v>169404584.3</v>
      </c>
      <c r="S12" s="56">
        <f t="shared" si="14"/>
        <v>169404584.3</v>
      </c>
      <c r="T12" s="56">
        <f t="shared" si="14"/>
        <v>169404584.3</v>
      </c>
      <c r="U12" s="56">
        <f t="shared" si="14"/>
        <v>169404584.3</v>
      </c>
      <c r="V12" s="56">
        <f t="shared" si="14"/>
        <v>169404584.3</v>
      </c>
      <c r="W12" s="56">
        <f t="shared" si="14"/>
        <v>169404584.3</v>
      </c>
      <c r="X12" s="56">
        <f t="shared" si="14"/>
        <v>169404584.3</v>
      </c>
      <c r="Y12" s="56">
        <f t="shared" si="14"/>
        <v>169404584.3</v>
      </c>
      <c r="Z12" s="56">
        <f t="shared" si="14"/>
        <v>169404584.3</v>
      </c>
      <c r="AA12" s="56">
        <f t="shared" si="14"/>
        <v>169404584.3</v>
      </c>
      <c r="AB12" s="56">
        <f t="shared" si="14"/>
        <v>169404584.3</v>
      </c>
      <c r="AC12" s="57">
        <f t="shared" ref="AC12:AC15" si="18">$E12*0.05</f>
        <v>106837606.8</v>
      </c>
      <c r="AD12" s="58">
        <f t="shared" ref="AD12:AD15" si="19">$E12*0.025</f>
        <v>53418803.42</v>
      </c>
      <c r="AE12" s="59"/>
      <c r="AF12" s="58">
        <f t="shared" ref="AF12:AG12" si="15">$E12*0.025</f>
        <v>53418803.42</v>
      </c>
      <c r="AG12" s="58">
        <f t="shared" si="15"/>
        <v>53418803.42</v>
      </c>
      <c r="AH12" s="14"/>
      <c r="AI12" s="14"/>
      <c r="AJ12" s="14"/>
      <c r="AK12" s="14"/>
      <c r="AL12" s="60"/>
      <c r="AM12" s="60"/>
    </row>
    <row r="13">
      <c r="A13" s="48">
        <f t="shared" si="3"/>
        <v>0.0000002384185791</v>
      </c>
      <c r="B13" s="21" t="s">
        <v>44</v>
      </c>
      <c r="C13" s="48">
        <v>8.8704E7</v>
      </c>
      <c r="D13" s="49">
        <f t="shared" si="4"/>
        <v>75815384.62</v>
      </c>
      <c r="E13" s="49">
        <f t="shared" si="5"/>
        <v>1233974359</v>
      </c>
      <c r="F13" s="48">
        <f t="shared" si="6"/>
        <v>1202975000</v>
      </c>
      <c r="G13" s="38">
        <v>13.0</v>
      </c>
      <c r="H13" s="14"/>
      <c r="I13" s="61">
        <v>50000.0</v>
      </c>
      <c r="J13" s="56">
        <v>50000.0</v>
      </c>
      <c r="K13" s="57">
        <v>50000.0</v>
      </c>
      <c r="L13" s="61">
        <f t="shared" ref="L13:Q13" si="16">$C13/$G13/12</f>
        <v>568615.3846</v>
      </c>
      <c r="M13" s="56">
        <f t="shared" si="16"/>
        <v>568615.3846</v>
      </c>
      <c r="N13" s="56">
        <f t="shared" si="16"/>
        <v>568615.3846</v>
      </c>
      <c r="O13" s="56">
        <f t="shared" si="16"/>
        <v>568615.3846</v>
      </c>
      <c r="P13" s="56">
        <f t="shared" si="16"/>
        <v>568615.3846</v>
      </c>
      <c r="Q13" s="57">
        <f t="shared" si="16"/>
        <v>568615.3846</v>
      </c>
      <c r="R13" s="61">
        <f t="shared" ref="R13:AB13" si="17">($E13-(sum($I13:$Q13,$AF13:$AG13,$AC13:$AD13)))/($G13-2)</f>
        <v>97833261.07</v>
      </c>
      <c r="S13" s="56">
        <f t="shared" si="17"/>
        <v>97833261.07</v>
      </c>
      <c r="T13" s="56">
        <f t="shared" si="17"/>
        <v>97833261.07</v>
      </c>
      <c r="U13" s="56">
        <f t="shared" si="17"/>
        <v>97833261.07</v>
      </c>
      <c r="V13" s="56">
        <f t="shared" si="17"/>
        <v>97833261.07</v>
      </c>
      <c r="W13" s="56">
        <f t="shared" si="17"/>
        <v>97833261.07</v>
      </c>
      <c r="X13" s="56">
        <f t="shared" si="17"/>
        <v>97833261.07</v>
      </c>
      <c r="Y13" s="56">
        <f t="shared" si="17"/>
        <v>97833261.07</v>
      </c>
      <c r="Z13" s="56">
        <f t="shared" si="17"/>
        <v>97833261.07</v>
      </c>
      <c r="AA13" s="56">
        <f t="shared" si="17"/>
        <v>97833261.07</v>
      </c>
      <c r="AB13" s="56">
        <f t="shared" si="17"/>
        <v>97833261.07</v>
      </c>
      <c r="AC13" s="57">
        <f t="shared" si="18"/>
        <v>61698717.95</v>
      </c>
      <c r="AD13" s="58">
        <f t="shared" si="19"/>
        <v>30849358.97</v>
      </c>
      <c r="AE13" s="59"/>
      <c r="AF13" s="58">
        <f t="shared" ref="AF13:AG13" si="20">$E13*0.025</f>
        <v>30849358.97</v>
      </c>
      <c r="AG13" s="58">
        <f t="shared" si="20"/>
        <v>30849358.97</v>
      </c>
      <c r="AH13" s="14"/>
      <c r="AI13" s="14"/>
      <c r="AJ13" s="14"/>
      <c r="AK13" s="14"/>
      <c r="AL13" s="60"/>
      <c r="AM13" s="60"/>
    </row>
    <row r="14">
      <c r="A14" s="48">
        <f t="shared" si="3"/>
        <v>0.00000002980232239</v>
      </c>
      <c r="B14" s="21" t="s">
        <v>45</v>
      </c>
      <c r="C14" s="48">
        <v>1.0384507E7</v>
      </c>
      <c r="D14" s="49">
        <f t="shared" si="4"/>
        <v>8875647.009</v>
      </c>
      <c r="E14" s="49">
        <f t="shared" si="5"/>
        <v>144460400.5</v>
      </c>
      <c r="F14" s="48">
        <f t="shared" si="6"/>
        <v>140848890.5</v>
      </c>
      <c r="G14" s="38">
        <v>13.0</v>
      </c>
      <c r="H14" s="14"/>
      <c r="I14" s="53"/>
      <c r="J14" s="54"/>
      <c r="K14" s="55"/>
      <c r="L14" s="53"/>
      <c r="M14" s="54"/>
      <c r="N14" s="54"/>
      <c r="O14" s="54"/>
      <c r="P14" s="54"/>
      <c r="Q14" s="55"/>
      <c r="R14" s="61">
        <f t="shared" ref="R14:AB14" si="21">($E14-(sum($I14:$Q14,$AF14:$AG14,$AC14:$AD14)))/($G14-2)</f>
        <v>11491168.22</v>
      </c>
      <c r="S14" s="56">
        <f t="shared" si="21"/>
        <v>11491168.22</v>
      </c>
      <c r="T14" s="56">
        <f t="shared" si="21"/>
        <v>11491168.22</v>
      </c>
      <c r="U14" s="56">
        <f t="shared" si="21"/>
        <v>11491168.22</v>
      </c>
      <c r="V14" s="56">
        <f t="shared" si="21"/>
        <v>11491168.22</v>
      </c>
      <c r="W14" s="56">
        <f t="shared" si="21"/>
        <v>11491168.22</v>
      </c>
      <c r="X14" s="56">
        <f t="shared" si="21"/>
        <v>11491168.22</v>
      </c>
      <c r="Y14" s="56">
        <f t="shared" si="21"/>
        <v>11491168.22</v>
      </c>
      <c r="Z14" s="56">
        <f t="shared" si="21"/>
        <v>11491168.22</v>
      </c>
      <c r="AA14" s="56">
        <f t="shared" si="21"/>
        <v>11491168.22</v>
      </c>
      <c r="AB14" s="56">
        <f t="shared" si="21"/>
        <v>11491168.22</v>
      </c>
      <c r="AC14" s="57">
        <f t="shared" si="18"/>
        <v>7223020.026</v>
      </c>
      <c r="AD14" s="58">
        <f t="shared" si="19"/>
        <v>3611510.013</v>
      </c>
      <c r="AE14" s="59"/>
      <c r="AF14" s="58">
        <f t="shared" ref="AF14:AG14" si="22">$E14*0.025</f>
        <v>3611510.013</v>
      </c>
      <c r="AG14" s="58">
        <f t="shared" si="22"/>
        <v>3611510.013</v>
      </c>
      <c r="AH14" s="14"/>
      <c r="AI14" s="14"/>
      <c r="AJ14" s="14"/>
      <c r="AK14" s="14"/>
      <c r="AL14" s="60"/>
      <c r="AM14" s="60"/>
    </row>
    <row r="15">
      <c r="A15" s="48">
        <f t="shared" si="3"/>
        <v>-0.000000003725290298</v>
      </c>
      <c r="B15" s="21" t="s">
        <v>46</v>
      </c>
      <c r="C15" s="48">
        <v>1883333.333</v>
      </c>
      <c r="D15" s="49">
        <f t="shared" si="4"/>
        <v>1609686.609</v>
      </c>
      <c r="E15" s="49">
        <f t="shared" si="5"/>
        <v>26199326.32</v>
      </c>
      <c r="F15" s="48">
        <f t="shared" si="6"/>
        <v>25544343.17</v>
      </c>
      <c r="G15" s="38">
        <v>6.0</v>
      </c>
      <c r="H15" s="14"/>
      <c r="I15" s="53"/>
      <c r="J15" s="54"/>
      <c r="K15" s="55"/>
      <c r="L15" s="53"/>
      <c r="M15" s="54"/>
      <c r="N15" s="54"/>
      <c r="O15" s="54"/>
      <c r="P15" s="54"/>
      <c r="Q15" s="55"/>
      <c r="R15" s="53"/>
      <c r="S15" s="54"/>
      <c r="T15" s="54"/>
      <c r="U15" s="54"/>
      <c r="V15" s="54"/>
      <c r="W15" s="54"/>
      <c r="X15" s="54"/>
      <c r="Y15" s="56">
        <f t="shared" ref="Y15:AB15" si="23">($E15-(sum($I15:$Q15,$AF15:$AG15,$AC15:$AD15)))/($G15-2)</f>
        <v>5731102.634</v>
      </c>
      <c r="Z15" s="56">
        <f t="shared" si="23"/>
        <v>5731102.634</v>
      </c>
      <c r="AA15" s="56">
        <f t="shared" si="23"/>
        <v>5731102.634</v>
      </c>
      <c r="AB15" s="56">
        <f t="shared" si="23"/>
        <v>5731102.634</v>
      </c>
      <c r="AC15" s="57">
        <f t="shared" si="18"/>
        <v>1309966.316</v>
      </c>
      <c r="AD15" s="58">
        <f t="shared" si="19"/>
        <v>654983.1581</v>
      </c>
      <c r="AE15" s="59"/>
      <c r="AF15" s="58">
        <f t="shared" ref="AF15:AG15" si="24">$E15*0.025</f>
        <v>654983.1581</v>
      </c>
      <c r="AG15" s="58">
        <f t="shared" si="24"/>
        <v>654983.1581</v>
      </c>
      <c r="AH15" s="14"/>
      <c r="AI15" s="14"/>
      <c r="AJ15" s="14"/>
      <c r="AK15" s="14"/>
      <c r="AL15" s="60"/>
      <c r="AM15" s="60"/>
    </row>
    <row r="16">
      <c r="A16" s="48">
        <f t="shared" si="3"/>
        <v>-0.000000003725290298</v>
      </c>
      <c r="B16" s="21" t="s">
        <v>47</v>
      </c>
      <c r="C16" s="48">
        <v>1718500.0</v>
      </c>
      <c r="D16" s="49">
        <f t="shared" si="4"/>
        <v>1468803.419</v>
      </c>
      <c r="E16" s="49">
        <f t="shared" si="5"/>
        <v>23906305.64</v>
      </c>
      <c r="F16" s="48">
        <f t="shared" si="6"/>
        <v>23308648</v>
      </c>
      <c r="G16" s="38">
        <v>6.0</v>
      </c>
      <c r="H16" s="14"/>
      <c r="I16" s="53"/>
      <c r="J16" s="54"/>
      <c r="K16" s="55"/>
      <c r="L16" s="53"/>
      <c r="M16" s="54"/>
      <c r="N16" s="54"/>
      <c r="O16" s="54"/>
      <c r="P16" s="54"/>
      <c r="Q16" s="55"/>
      <c r="R16" s="53"/>
      <c r="S16" s="54"/>
      <c r="T16" s="54"/>
      <c r="U16" s="54"/>
      <c r="V16" s="54"/>
      <c r="W16" s="54"/>
      <c r="X16" s="54"/>
      <c r="Y16" s="56">
        <f t="shared" ref="Y16:AD16" si="25">($E16-sum($AF16:$AG16))/$G16</f>
        <v>3785165.06</v>
      </c>
      <c r="Z16" s="56">
        <f t="shared" si="25"/>
        <v>3785165.06</v>
      </c>
      <c r="AA16" s="56">
        <f t="shared" si="25"/>
        <v>3785165.06</v>
      </c>
      <c r="AB16" s="56">
        <f t="shared" si="25"/>
        <v>3785165.06</v>
      </c>
      <c r="AC16" s="57">
        <f t="shared" si="25"/>
        <v>3785165.06</v>
      </c>
      <c r="AD16" s="58">
        <f t="shared" si="25"/>
        <v>3785165.06</v>
      </c>
      <c r="AE16" s="59"/>
      <c r="AF16" s="58">
        <f t="shared" ref="AF16:AG16" si="26">$E16*0.025</f>
        <v>597657.6411</v>
      </c>
      <c r="AG16" s="58">
        <f t="shared" si="26"/>
        <v>597657.6411</v>
      </c>
      <c r="AH16" s="14"/>
      <c r="AI16" s="14"/>
      <c r="AJ16" s="14"/>
      <c r="AK16" s="14"/>
      <c r="AL16" s="60"/>
      <c r="AM16" s="60"/>
    </row>
    <row r="17">
      <c r="A17" s="48">
        <f t="shared" si="3"/>
        <v>-0.0000001192092896</v>
      </c>
      <c r="B17" s="21" t="s">
        <v>48</v>
      </c>
      <c r="C17" s="48">
        <v>4.55622863E7</v>
      </c>
      <c r="D17" s="49">
        <f t="shared" si="4"/>
        <v>38942125.04</v>
      </c>
      <c r="E17" s="49">
        <f t="shared" si="5"/>
        <v>633823649.8</v>
      </c>
      <c r="F17" s="48">
        <f t="shared" si="6"/>
        <v>617978058.5</v>
      </c>
      <c r="G17" s="38">
        <v>13.0</v>
      </c>
      <c r="H17" s="14"/>
      <c r="I17" s="53"/>
      <c r="J17" s="54"/>
      <c r="K17" s="55"/>
      <c r="L17" s="61">
        <f t="shared" ref="L17:Q17" si="27">$C17/$G17/12</f>
        <v>292065.9378</v>
      </c>
      <c r="M17" s="56">
        <f t="shared" si="27"/>
        <v>292065.9378</v>
      </c>
      <c r="N17" s="56">
        <f t="shared" si="27"/>
        <v>292065.9378</v>
      </c>
      <c r="O17" s="56">
        <f t="shared" si="27"/>
        <v>292065.9378</v>
      </c>
      <c r="P17" s="56">
        <f t="shared" si="27"/>
        <v>292065.9378</v>
      </c>
      <c r="Q17" s="57">
        <f t="shared" si="27"/>
        <v>292065.9378</v>
      </c>
      <c r="R17" s="61">
        <f t="shared" ref="R17:AB17" si="28">($E17-(sum($I17:$Q17,$AF17:$AG17,$AC17:$AD17)))/($G17-2)</f>
        <v>46158573.41</v>
      </c>
      <c r="S17" s="56">
        <f t="shared" si="28"/>
        <v>46158573.41</v>
      </c>
      <c r="T17" s="56">
        <f t="shared" si="28"/>
        <v>46158573.41</v>
      </c>
      <c r="U17" s="56">
        <f t="shared" si="28"/>
        <v>46158573.41</v>
      </c>
      <c r="V17" s="56">
        <f t="shared" si="28"/>
        <v>46158573.41</v>
      </c>
      <c r="W17" s="56">
        <f t="shared" si="28"/>
        <v>46158573.41</v>
      </c>
      <c r="X17" s="56">
        <f t="shared" si="28"/>
        <v>46158573.41</v>
      </c>
      <c r="Y17" s="56">
        <f t="shared" si="28"/>
        <v>46158573.41</v>
      </c>
      <c r="Z17" s="56">
        <f t="shared" si="28"/>
        <v>46158573.41</v>
      </c>
      <c r="AA17" s="56">
        <f t="shared" si="28"/>
        <v>46158573.41</v>
      </c>
      <c r="AB17" s="56">
        <f t="shared" si="28"/>
        <v>46158573.41</v>
      </c>
      <c r="AC17" s="57">
        <f t="shared" ref="AC17:AD17" si="29">($E17-sum($AF17:$AG17))/$G17</f>
        <v>46317882.1</v>
      </c>
      <c r="AD17" s="58">
        <f t="shared" si="29"/>
        <v>46317882.1</v>
      </c>
      <c r="AE17" s="59"/>
      <c r="AF17" s="58">
        <f t="shared" ref="AF17:AG17" si="30">$E17*0.025</f>
        <v>15845591.24</v>
      </c>
      <c r="AG17" s="58">
        <f t="shared" si="30"/>
        <v>15845591.24</v>
      </c>
      <c r="AH17" s="14"/>
      <c r="AI17" s="14"/>
      <c r="AJ17" s="14"/>
      <c r="AK17" s="14"/>
      <c r="AL17" s="60"/>
      <c r="AM17" s="60"/>
    </row>
    <row r="18">
      <c r="A18" s="48">
        <f t="shared" si="3"/>
        <v>-0.00000005960464478</v>
      </c>
      <c r="B18" s="21" t="s">
        <v>49</v>
      </c>
      <c r="C18" s="48">
        <v>1.21152E7</v>
      </c>
      <c r="D18" s="49">
        <f t="shared" si="4"/>
        <v>10354871.79</v>
      </c>
      <c r="E18" s="49">
        <f t="shared" si="5"/>
        <v>168536324.8</v>
      </c>
      <c r="F18" s="48">
        <f t="shared" si="6"/>
        <v>164322916.7</v>
      </c>
      <c r="G18" s="38">
        <v>13.0</v>
      </c>
      <c r="H18" s="14"/>
      <c r="I18" s="53"/>
      <c r="J18" s="54"/>
      <c r="K18" s="55"/>
      <c r="L18" s="61">
        <f t="shared" ref="L18:Q18" si="31">$C18/$G18/12</f>
        <v>77661.53846</v>
      </c>
      <c r="M18" s="56">
        <f t="shared" si="31"/>
        <v>77661.53846</v>
      </c>
      <c r="N18" s="56">
        <f t="shared" si="31"/>
        <v>77661.53846</v>
      </c>
      <c r="O18" s="56">
        <f t="shared" si="31"/>
        <v>77661.53846</v>
      </c>
      <c r="P18" s="56">
        <f t="shared" si="31"/>
        <v>77661.53846</v>
      </c>
      <c r="Q18" s="57">
        <f t="shared" si="31"/>
        <v>77661.53846</v>
      </c>
      <c r="R18" s="61">
        <f t="shared" ref="R18:AB18" si="32">($E18-(sum($I18:$Q18,$AF18:$AG18,$AC18:$AD18)))/($G18-2)</f>
        <v>13363937.72</v>
      </c>
      <c r="S18" s="56">
        <f t="shared" si="32"/>
        <v>13363937.72</v>
      </c>
      <c r="T18" s="56">
        <f t="shared" si="32"/>
        <v>13363937.72</v>
      </c>
      <c r="U18" s="56">
        <f t="shared" si="32"/>
        <v>13363937.72</v>
      </c>
      <c r="V18" s="56">
        <f t="shared" si="32"/>
        <v>13363937.72</v>
      </c>
      <c r="W18" s="56">
        <f t="shared" si="32"/>
        <v>13363937.72</v>
      </c>
      <c r="X18" s="56">
        <f t="shared" si="32"/>
        <v>13363937.72</v>
      </c>
      <c r="Y18" s="56">
        <f t="shared" si="32"/>
        <v>13363937.72</v>
      </c>
      <c r="Z18" s="56">
        <f t="shared" si="32"/>
        <v>13363937.72</v>
      </c>
      <c r="AA18" s="56">
        <f t="shared" si="32"/>
        <v>13363937.72</v>
      </c>
      <c r="AB18" s="56">
        <f t="shared" si="32"/>
        <v>13363937.72</v>
      </c>
      <c r="AC18" s="57">
        <f>$E18*0.05</f>
        <v>8426816.239</v>
      </c>
      <c r="AD18" s="58">
        <f>$E18*0.025</f>
        <v>4213408.12</v>
      </c>
      <c r="AE18" s="59"/>
      <c r="AF18" s="58">
        <f t="shared" ref="AF18:AG18" si="33">$E18*0.025</f>
        <v>4213408.12</v>
      </c>
      <c r="AG18" s="58">
        <f t="shared" si="33"/>
        <v>4213408.12</v>
      </c>
      <c r="AH18" s="14"/>
      <c r="AI18" s="14"/>
      <c r="AJ18" s="14"/>
      <c r="AK18" s="14"/>
      <c r="AL18" s="60"/>
      <c r="AM18" s="60"/>
    </row>
    <row r="19">
      <c r="A19" s="48">
        <f t="shared" si="3"/>
        <v>-0.00000005960464478</v>
      </c>
      <c r="B19" s="21" t="s">
        <v>50</v>
      </c>
      <c r="C19" s="63">
        <v>3.0E7</v>
      </c>
      <c r="D19" s="49">
        <f t="shared" si="4"/>
        <v>25641025.64</v>
      </c>
      <c r="E19" s="49">
        <f t="shared" si="5"/>
        <v>417334401.7</v>
      </c>
      <c r="F19" s="48">
        <f t="shared" si="6"/>
        <v>417334401.7</v>
      </c>
      <c r="G19" s="38">
        <v>8.0</v>
      </c>
      <c r="H19" s="14"/>
      <c r="I19" s="53"/>
      <c r="J19" s="54"/>
      <c r="K19" s="55"/>
      <c r="L19" s="61">
        <f t="shared" ref="L19:S19" si="34">$E19/$G19</f>
        <v>52166800.21</v>
      </c>
      <c r="M19" s="56">
        <f t="shared" si="34"/>
        <v>52166800.21</v>
      </c>
      <c r="N19" s="56">
        <f t="shared" si="34"/>
        <v>52166800.21</v>
      </c>
      <c r="O19" s="56">
        <f t="shared" si="34"/>
        <v>52166800.21</v>
      </c>
      <c r="P19" s="56">
        <f t="shared" si="34"/>
        <v>52166800.21</v>
      </c>
      <c r="Q19" s="57">
        <f t="shared" si="34"/>
        <v>52166800.21</v>
      </c>
      <c r="R19" s="61">
        <f t="shared" si="34"/>
        <v>52166800.21</v>
      </c>
      <c r="S19" s="56">
        <f t="shared" si="34"/>
        <v>52166800.21</v>
      </c>
      <c r="T19" s="54"/>
      <c r="U19" s="54"/>
      <c r="V19" s="54"/>
      <c r="W19" s="54"/>
      <c r="X19" s="54"/>
      <c r="Y19" s="54"/>
      <c r="Z19" s="54"/>
      <c r="AA19" s="54"/>
      <c r="AB19" s="54"/>
      <c r="AC19" s="55"/>
      <c r="AD19" s="62"/>
      <c r="AE19" s="59"/>
      <c r="AF19" s="62"/>
      <c r="AG19" s="62"/>
      <c r="AH19" s="14"/>
      <c r="AI19" s="14"/>
      <c r="AJ19" s="14"/>
      <c r="AK19" s="14"/>
      <c r="AL19" s="60"/>
      <c r="AM19" s="60"/>
    </row>
    <row r="20">
      <c r="A20" s="48">
        <f t="shared" si="3"/>
        <v>0</v>
      </c>
      <c r="B20" s="21" t="s">
        <v>9</v>
      </c>
      <c r="C20" s="48"/>
      <c r="D20" s="49">
        <f t="shared" si="4"/>
        <v>0</v>
      </c>
      <c r="E20" s="64">
        <v>1.2E7</v>
      </c>
      <c r="F20" s="21"/>
      <c r="G20" s="38">
        <v>4.0</v>
      </c>
      <c r="H20" s="14"/>
      <c r="I20" s="53"/>
      <c r="J20" s="54"/>
      <c r="K20" s="55"/>
      <c r="L20" s="53">
        <f>E20</f>
        <v>12000000</v>
      </c>
      <c r="M20" s="54"/>
      <c r="N20" s="54"/>
      <c r="O20" s="54"/>
      <c r="P20" s="54"/>
      <c r="Q20" s="55"/>
      <c r="R20" s="53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5"/>
      <c r="AD20" s="62"/>
      <c r="AE20" s="59"/>
      <c r="AF20" s="62"/>
      <c r="AG20" s="62"/>
      <c r="AH20" s="14"/>
      <c r="AI20" s="14"/>
      <c r="AJ20" s="14"/>
      <c r="AK20" s="14"/>
      <c r="AL20" s="60"/>
      <c r="AM20" s="60"/>
    </row>
    <row r="21">
      <c r="A21" s="48">
        <f t="shared" si="3"/>
        <v>0</v>
      </c>
      <c r="B21" s="21" t="s">
        <v>51</v>
      </c>
      <c r="C21" s="48">
        <v>1909090.909</v>
      </c>
      <c r="D21" s="49">
        <f t="shared" si="4"/>
        <v>1631701.632</v>
      </c>
      <c r="E21" s="49">
        <f t="shared" ref="E21:E26" si="36">D21/$C$4*$E$4</f>
        <v>26557643.74</v>
      </c>
      <c r="F21" s="48">
        <f t="shared" ref="F21:F26" si="37">E21-sum(I21:K21)-AG21</f>
        <v>26557643.74</v>
      </c>
      <c r="G21" s="38">
        <v>9.0</v>
      </c>
      <c r="H21" s="14"/>
      <c r="I21" s="53"/>
      <c r="J21" s="54"/>
      <c r="K21" s="55"/>
      <c r="L21" s="53"/>
      <c r="M21" s="54"/>
      <c r="N21" s="54"/>
      <c r="O21" s="54"/>
      <c r="P21" s="54"/>
      <c r="Q21" s="55"/>
      <c r="R21" s="53"/>
      <c r="S21" s="54"/>
      <c r="T21" s="54"/>
      <c r="U21" s="54"/>
      <c r="V21" s="56">
        <f t="shared" ref="V21:AD21" si="35">$E21/$G21</f>
        <v>2950849.305</v>
      </c>
      <c r="W21" s="56">
        <f t="shared" si="35"/>
        <v>2950849.305</v>
      </c>
      <c r="X21" s="56">
        <f t="shared" si="35"/>
        <v>2950849.305</v>
      </c>
      <c r="Y21" s="56">
        <f t="shared" si="35"/>
        <v>2950849.305</v>
      </c>
      <c r="Z21" s="56">
        <f t="shared" si="35"/>
        <v>2950849.305</v>
      </c>
      <c r="AA21" s="56">
        <f t="shared" si="35"/>
        <v>2950849.305</v>
      </c>
      <c r="AB21" s="56">
        <f t="shared" si="35"/>
        <v>2950849.305</v>
      </c>
      <c r="AC21" s="57">
        <f t="shared" si="35"/>
        <v>2950849.305</v>
      </c>
      <c r="AD21" s="58">
        <f t="shared" si="35"/>
        <v>2950849.305</v>
      </c>
      <c r="AE21" s="59"/>
      <c r="AF21" s="62"/>
      <c r="AG21" s="62"/>
      <c r="AH21" s="14"/>
      <c r="AI21" s="14"/>
      <c r="AJ21" s="14"/>
      <c r="AK21" s="14"/>
      <c r="AL21" s="60"/>
      <c r="AM21" s="60"/>
    </row>
    <row r="22">
      <c r="A22" s="48">
        <f t="shared" si="3"/>
        <v>0</v>
      </c>
      <c r="B22" s="21" t="s">
        <v>52</v>
      </c>
      <c r="C22" s="48">
        <v>2039540.0</v>
      </c>
      <c r="D22" s="49">
        <f t="shared" si="4"/>
        <v>1743196.581</v>
      </c>
      <c r="E22" s="49">
        <f t="shared" si="36"/>
        <v>28372340.19</v>
      </c>
      <c r="F22" s="48">
        <f t="shared" si="37"/>
        <v>28372340.19</v>
      </c>
      <c r="G22" s="38">
        <v>6.0</v>
      </c>
      <c r="H22" s="14"/>
      <c r="I22" s="53"/>
      <c r="J22" s="54"/>
      <c r="K22" s="55"/>
      <c r="L22" s="53"/>
      <c r="M22" s="54"/>
      <c r="N22" s="54"/>
      <c r="O22" s="54"/>
      <c r="P22" s="54"/>
      <c r="Q22" s="55"/>
      <c r="R22" s="53"/>
      <c r="S22" s="54"/>
      <c r="T22" s="54"/>
      <c r="U22" s="54"/>
      <c r="V22" s="54"/>
      <c r="W22" s="54"/>
      <c r="X22" s="54"/>
      <c r="Y22" s="56">
        <f t="shared" ref="Y22:AD22" si="38">$E22/$G22</f>
        <v>4728723.365</v>
      </c>
      <c r="Z22" s="56">
        <f t="shared" si="38"/>
        <v>4728723.365</v>
      </c>
      <c r="AA22" s="56">
        <f t="shared" si="38"/>
        <v>4728723.365</v>
      </c>
      <c r="AB22" s="56">
        <f t="shared" si="38"/>
        <v>4728723.365</v>
      </c>
      <c r="AC22" s="57">
        <f t="shared" si="38"/>
        <v>4728723.365</v>
      </c>
      <c r="AD22" s="58">
        <f t="shared" si="38"/>
        <v>4728723.365</v>
      </c>
      <c r="AE22" s="59"/>
      <c r="AF22" s="62"/>
      <c r="AG22" s="62"/>
      <c r="AH22" s="14"/>
      <c r="AI22" s="14"/>
      <c r="AJ22" s="14"/>
      <c r="AK22" s="14"/>
      <c r="AL22" s="60"/>
      <c r="AM22" s="60"/>
    </row>
    <row r="23">
      <c r="A23" s="48">
        <f t="shared" si="3"/>
        <v>-0.000000003725290298</v>
      </c>
      <c r="B23" s="21" t="s">
        <v>53</v>
      </c>
      <c r="C23" s="48">
        <v>2000000.0</v>
      </c>
      <c r="D23" s="49">
        <f t="shared" si="4"/>
        <v>1709401.709</v>
      </c>
      <c r="E23" s="49">
        <f t="shared" si="36"/>
        <v>27822293.45</v>
      </c>
      <c r="F23" s="48">
        <f t="shared" si="37"/>
        <v>27088274.57</v>
      </c>
      <c r="G23" s="38">
        <v>13.0</v>
      </c>
      <c r="H23" s="14"/>
      <c r="I23" s="61">
        <f t="shared" ref="I23:Q23" si="39">$C23/$G23/12</f>
        <v>12820.51282</v>
      </c>
      <c r="J23" s="56">
        <f t="shared" si="39"/>
        <v>12820.51282</v>
      </c>
      <c r="K23" s="57">
        <f t="shared" si="39"/>
        <v>12820.51282</v>
      </c>
      <c r="L23" s="61">
        <f t="shared" si="39"/>
        <v>12820.51282</v>
      </c>
      <c r="M23" s="56">
        <f t="shared" si="39"/>
        <v>12820.51282</v>
      </c>
      <c r="N23" s="56">
        <f t="shared" si="39"/>
        <v>12820.51282</v>
      </c>
      <c r="O23" s="56">
        <f t="shared" si="39"/>
        <v>12820.51282</v>
      </c>
      <c r="P23" s="56">
        <f t="shared" si="39"/>
        <v>12820.51282</v>
      </c>
      <c r="Q23" s="57">
        <f t="shared" si="39"/>
        <v>12820.51282</v>
      </c>
      <c r="R23" s="61">
        <f t="shared" ref="R23:AB23" si="40">($E23-(sum($I23:$Q23,$AF23:$AG23,$AC23:$AD23)))/($G23-2)</f>
        <v>2208318.391</v>
      </c>
      <c r="S23" s="56">
        <f t="shared" si="40"/>
        <v>2208318.391</v>
      </c>
      <c r="T23" s="56">
        <f t="shared" si="40"/>
        <v>2208318.391</v>
      </c>
      <c r="U23" s="56">
        <f t="shared" si="40"/>
        <v>2208318.391</v>
      </c>
      <c r="V23" s="56">
        <f t="shared" si="40"/>
        <v>2208318.391</v>
      </c>
      <c r="W23" s="56">
        <f t="shared" si="40"/>
        <v>2208318.391</v>
      </c>
      <c r="X23" s="56">
        <f t="shared" si="40"/>
        <v>2208318.391</v>
      </c>
      <c r="Y23" s="56">
        <f t="shared" si="40"/>
        <v>2208318.391</v>
      </c>
      <c r="Z23" s="56">
        <f t="shared" si="40"/>
        <v>2208318.391</v>
      </c>
      <c r="AA23" s="56">
        <f t="shared" si="40"/>
        <v>2208318.391</v>
      </c>
      <c r="AB23" s="56">
        <f t="shared" si="40"/>
        <v>2208318.391</v>
      </c>
      <c r="AC23" s="57">
        <f t="shared" ref="AC23:AD23" si="41">($E23-(sum($I23:$Q23)+sum($AF23:$AG23)))/$G23/2</f>
        <v>1012145.929</v>
      </c>
      <c r="AD23" s="58">
        <f t="shared" si="41"/>
        <v>1012145.929</v>
      </c>
      <c r="AE23" s="59"/>
      <c r="AF23" s="58">
        <f t="shared" ref="AF23:AG23" si="42">$E23*0.025</f>
        <v>695557.3362</v>
      </c>
      <c r="AG23" s="58">
        <f t="shared" si="42"/>
        <v>695557.3362</v>
      </c>
      <c r="AH23" s="14"/>
      <c r="AI23" s="14"/>
      <c r="AJ23" s="14"/>
      <c r="AK23" s="14"/>
      <c r="AL23" s="60"/>
      <c r="AM23" s="60"/>
    </row>
    <row r="24">
      <c r="A24" s="48">
        <f t="shared" si="3"/>
        <v>-0.00000002980232239</v>
      </c>
      <c r="B24" s="21" t="s">
        <v>54</v>
      </c>
      <c r="C24" s="48">
        <f>5%*sum(C8:C19)</f>
        <v>18491313.44</v>
      </c>
      <c r="D24" s="49">
        <f t="shared" si="4"/>
        <v>15804541.4</v>
      </c>
      <c r="E24" s="49">
        <f t="shared" si="36"/>
        <v>257235374.4</v>
      </c>
      <c r="F24" s="48">
        <f t="shared" si="37"/>
        <v>251315199.8</v>
      </c>
      <c r="G24" s="38">
        <v>24.0</v>
      </c>
      <c r="H24" s="14"/>
      <c r="I24" s="61">
        <f t="shared" ref="I24:AD24" si="43">5%*sum(I8:I19)</f>
        <v>8000</v>
      </c>
      <c r="J24" s="56">
        <f t="shared" si="43"/>
        <v>8000</v>
      </c>
      <c r="K24" s="57">
        <f t="shared" si="43"/>
        <v>8000</v>
      </c>
      <c r="L24" s="61">
        <f t="shared" si="43"/>
        <v>2769508.923</v>
      </c>
      <c r="M24" s="56">
        <f t="shared" si="43"/>
        <v>2769508.923</v>
      </c>
      <c r="N24" s="56">
        <f t="shared" si="43"/>
        <v>2769508.923</v>
      </c>
      <c r="O24" s="56">
        <f t="shared" si="43"/>
        <v>2769508.923</v>
      </c>
      <c r="P24" s="56">
        <f t="shared" si="43"/>
        <v>2769508.923</v>
      </c>
      <c r="Q24" s="57">
        <f t="shared" si="43"/>
        <v>2769508.923</v>
      </c>
      <c r="R24" s="61">
        <f t="shared" si="43"/>
        <v>20813132.12</v>
      </c>
      <c r="S24" s="56">
        <f t="shared" si="43"/>
        <v>20813132.12</v>
      </c>
      <c r="T24" s="56">
        <f t="shared" si="43"/>
        <v>18139771.11</v>
      </c>
      <c r="U24" s="56">
        <f t="shared" si="43"/>
        <v>18247192.99</v>
      </c>
      <c r="V24" s="56">
        <f t="shared" si="43"/>
        <v>18247192.99</v>
      </c>
      <c r="W24" s="56">
        <f t="shared" si="43"/>
        <v>18247192.99</v>
      </c>
      <c r="X24" s="56">
        <f t="shared" si="43"/>
        <v>18247192.99</v>
      </c>
      <c r="Y24" s="56">
        <f t="shared" si="43"/>
        <v>18723006.37</v>
      </c>
      <c r="Z24" s="56">
        <f t="shared" si="43"/>
        <v>18723006.37</v>
      </c>
      <c r="AA24" s="56">
        <f t="shared" si="43"/>
        <v>18723006.37</v>
      </c>
      <c r="AB24" s="56">
        <f t="shared" si="43"/>
        <v>18723006.37</v>
      </c>
      <c r="AC24" s="57">
        <f t="shared" si="43"/>
        <v>13114575.48</v>
      </c>
      <c r="AD24" s="58">
        <f t="shared" si="43"/>
        <v>8040563.265</v>
      </c>
      <c r="AE24" s="59"/>
      <c r="AF24" s="58">
        <f t="shared" ref="AF24:AG24" si="44">5%*sum(AF8:AF19)</f>
        <v>5896174.658</v>
      </c>
      <c r="AG24" s="58">
        <f t="shared" si="44"/>
        <v>5896174.658</v>
      </c>
      <c r="AH24" s="14"/>
      <c r="AI24" s="14"/>
      <c r="AJ24" s="14"/>
      <c r="AK24" s="14"/>
      <c r="AL24" s="60"/>
      <c r="AM24" s="60"/>
    </row>
    <row r="25">
      <c r="A25" s="48">
        <f t="shared" si="3"/>
        <v>-0.00000005960464478</v>
      </c>
      <c r="B25" s="21" t="s">
        <v>55</v>
      </c>
      <c r="C25" s="48">
        <f>sum(C8:C24)*3%</f>
        <v>11827986.4</v>
      </c>
      <c r="D25" s="49">
        <f t="shared" si="4"/>
        <v>10109390.08</v>
      </c>
      <c r="E25" s="49">
        <f t="shared" si="36"/>
        <v>164540854.2</v>
      </c>
      <c r="F25" s="48">
        <f t="shared" si="37"/>
        <v>137117378.5</v>
      </c>
      <c r="G25" s="38">
        <v>24.0</v>
      </c>
      <c r="H25" s="14"/>
      <c r="I25" s="61">
        <f t="shared" ref="I25:AD25" si="45">$E25/$G25</f>
        <v>6855868.925</v>
      </c>
      <c r="J25" s="56">
        <f t="shared" si="45"/>
        <v>6855868.925</v>
      </c>
      <c r="K25" s="57">
        <f t="shared" si="45"/>
        <v>6855868.925</v>
      </c>
      <c r="L25" s="61">
        <f t="shared" si="45"/>
        <v>6855868.925</v>
      </c>
      <c r="M25" s="56">
        <f t="shared" si="45"/>
        <v>6855868.925</v>
      </c>
      <c r="N25" s="56">
        <f t="shared" si="45"/>
        <v>6855868.925</v>
      </c>
      <c r="O25" s="56">
        <f t="shared" si="45"/>
        <v>6855868.925</v>
      </c>
      <c r="P25" s="56">
        <f t="shared" si="45"/>
        <v>6855868.925</v>
      </c>
      <c r="Q25" s="57">
        <f t="shared" si="45"/>
        <v>6855868.925</v>
      </c>
      <c r="R25" s="61">
        <f t="shared" si="45"/>
        <v>6855868.925</v>
      </c>
      <c r="S25" s="56">
        <f t="shared" si="45"/>
        <v>6855868.925</v>
      </c>
      <c r="T25" s="56">
        <f t="shared" si="45"/>
        <v>6855868.925</v>
      </c>
      <c r="U25" s="56">
        <f t="shared" si="45"/>
        <v>6855868.925</v>
      </c>
      <c r="V25" s="56">
        <f t="shared" si="45"/>
        <v>6855868.925</v>
      </c>
      <c r="W25" s="56">
        <f t="shared" si="45"/>
        <v>6855868.925</v>
      </c>
      <c r="X25" s="56">
        <f t="shared" si="45"/>
        <v>6855868.925</v>
      </c>
      <c r="Y25" s="56">
        <f t="shared" si="45"/>
        <v>6855868.925</v>
      </c>
      <c r="Z25" s="56">
        <f t="shared" si="45"/>
        <v>6855868.925</v>
      </c>
      <c r="AA25" s="56">
        <f t="shared" si="45"/>
        <v>6855868.925</v>
      </c>
      <c r="AB25" s="56">
        <f t="shared" si="45"/>
        <v>6855868.925</v>
      </c>
      <c r="AC25" s="57">
        <f t="shared" si="45"/>
        <v>6855868.925</v>
      </c>
      <c r="AD25" s="58">
        <f t="shared" si="45"/>
        <v>6855868.925</v>
      </c>
      <c r="AE25" s="59"/>
      <c r="AF25" s="58">
        <f t="shared" ref="AF25:AG25" si="46">$E25/$G25</f>
        <v>6855868.925</v>
      </c>
      <c r="AG25" s="58">
        <f t="shared" si="46"/>
        <v>6855868.925</v>
      </c>
      <c r="AH25" s="14"/>
      <c r="AI25" s="14"/>
      <c r="AJ25" s="14"/>
      <c r="AK25" s="14"/>
      <c r="AL25" s="60"/>
      <c r="AM25" s="60"/>
    </row>
    <row r="26">
      <c r="A26" s="48">
        <f t="shared" si="3"/>
        <v>0</v>
      </c>
      <c r="B26" s="21" t="s">
        <v>56</v>
      </c>
      <c r="C26" s="48">
        <f>sum(C8:C24)*0.1</f>
        <v>39426621.32</v>
      </c>
      <c r="D26" s="49">
        <f t="shared" si="4"/>
        <v>33697966.94</v>
      </c>
      <c r="E26" s="49">
        <f t="shared" si="36"/>
        <v>548469514</v>
      </c>
      <c r="F26" s="48">
        <f t="shared" si="37"/>
        <v>532646769.3</v>
      </c>
      <c r="G26" s="38">
        <v>13.0</v>
      </c>
      <c r="H26" s="14"/>
      <c r="I26" s="61">
        <f t="shared" ref="I26:K26" si="47">sum(I8:I25)*0.1</f>
        <v>703668.9438</v>
      </c>
      <c r="J26" s="56">
        <f t="shared" si="47"/>
        <v>703668.9438</v>
      </c>
      <c r="K26" s="57">
        <f t="shared" si="47"/>
        <v>703668.9438</v>
      </c>
      <c r="L26" s="61">
        <f t="shared" ref="L26:Q26" si="48">$C26/$G26/12</f>
        <v>252734.7521</v>
      </c>
      <c r="M26" s="56">
        <f t="shared" si="48"/>
        <v>252734.7521</v>
      </c>
      <c r="N26" s="56">
        <f t="shared" si="48"/>
        <v>252734.7521</v>
      </c>
      <c r="O26" s="56">
        <f t="shared" si="48"/>
        <v>252734.7521</v>
      </c>
      <c r="P26" s="56">
        <f t="shared" si="48"/>
        <v>252734.7521</v>
      </c>
      <c r="Q26" s="57">
        <f t="shared" si="48"/>
        <v>252734.7521</v>
      </c>
      <c r="R26" s="61">
        <f t="shared" ref="R26:AB26" si="49">($E26-(sum($I26:$Q26,$AF26:$AG26,$AC26:$AD26)))/($G26-2)</f>
        <v>43419744.58</v>
      </c>
      <c r="S26" s="56">
        <f t="shared" si="49"/>
        <v>43419744.58</v>
      </c>
      <c r="T26" s="56">
        <f t="shared" si="49"/>
        <v>43419744.58</v>
      </c>
      <c r="U26" s="56">
        <f t="shared" si="49"/>
        <v>43419744.58</v>
      </c>
      <c r="V26" s="56">
        <f t="shared" si="49"/>
        <v>43419744.58</v>
      </c>
      <c r="W26" s="56">
        <f t="shared" si="49"/>
        <v>43419744.58</v>
      </c>
      <c r="X26" s="56">
        <f t="shared" si="49"/>
        <v>43419744.58</v>
      </c>
      <c r="Y26" s="56">
        <f t="shared" si="49"/>
        <v>43419744.58</v>
      </c>
      <c r="Z26" s="56">
        <f t="shared" si="49"/>
        <v>43419744.58</v>
      </c>
      <c r="AA26" s="56">
        <f t="shared" si="49"/>
        <v>43419744.58</v>
      </c>
      <c r="AB26" s="56">
        <f t="shared" si="49"/>
        <v>43419744.58</v>
      </c>
      <c r="AC26" s="57">
        <f t="shared" ref="AC26:AD26" si="50">($E26-(sum($I26:$Q26)+sum($AF26:$AG26)))/$G26/2</f>
        <v>19900716.27</v>
      </c>
      <c r="AD26" s="58">
        <f t="shared" si="50"/>
        <v>19900716.27</v>
      </c>
      <c r="AE26" s="59"/>
      <c r="AF26" s="58">
        <f t="shared" ref="AF26:AG26" si="51">$E26*0.025</f>
        <v>13711737.85</v>
      </c>
      <c r="AG26" s="58">
        <f t="shared" si="51"/>
        <v>13711737.85</v>
      </c>
      <c r="AH26" s="14"/>
      <c r="AI26" s="14"/>
      <c r="AJ26" s="14"/>
      <c r="AK26" s="14"/>
      <c r="AL26" s="60"/>
      <c r="AM26" s="60"/>
    </row>
    <row r="27">
      <c r="A27" s="48">
        <f t="shared" si="3"/>
        <v>0.0000009536743164</v>
      </c>
      <c r="B27" s="65" t="s">
        <v>57</v>
      </c>
      <c r="C27" s="48">
        <f>sum(C8:C26)</f>
        <v>445520820.9</v>
      </c>
      <c r="D27" s="49">
        <f t="shared" si="4"/>
        <v>380787026.4</v>
      </c>
      <c r="E27" s="49">
        <f t="shared" ref="E27:F27" si="52">sum(E8:E26)</f>
        <v>6209705508</v>
      </c>
      <c r="F27" s="48">
        <f t="shared" si="52"/>
        <v>6029401601</v>
      </c>
      <c r="G27" s="14"/>
      <c r="H27" s="14"/>
      <c r="I27" s="66">
        <f t="shared" ref="I27:AD27" si="53">sum(I8:I26)</f>
        <v>7740358.382</v>
      </c>
      <c r="J27" s="67">
        <f t="shared" si="53"/>
        <v>7740358.382</v>
      </c>
      <c r="K27" s="68">
        <f t="shared" si="53"/>
        <v>7740358.382</v>
      </c>
      <c r="L27" s="66">
        <f t="shared" si="53"/>
        <v>77281111.58</v>
      </c>
      <c r="M27" s="67">
        <f t="shared" si="53"/>
        <v>65281111.58</v>
      </c>
      <c r="N27" s="67">
        <f t="shared" si="53"/>
        <v>65281111.58</v>
      </c>
      <c r="O27" s="67">
        <f t="shared" si="53"/>
        <v>65281111.58</v>
      </c>
      <c r="P27" s="67">
        <f t="shared" si="53"/>
        <v>65281111.58</v>
      </c>
      <c r="Q27" s="68">
        <f t="shared" si="53"/>
        <v>65281111.58</v>
      </c>
      <c r="R27" s="66">
        <f t="shared" si="53"/>
        <v>489559706.5</v>
      </c>
      <c r="S27" s="67">
        <f t="shared" si="53"/>
        <v>489559706.5</v>
      </c>
      <c r="T27" s="67">
        <f t="shared" si="53"/>
        <v>433419125.3</v>
      </c>
      <c r="U27" s="67">
        <f t="shared" si="53"/>
        <v>435674984.7</v>
      </c>
      <c r="V27" s="67">
        <f t="shared" si="53"/>
        <v>438625834</v>
      </c>
      <c r="W27" s="67">
        <f t="shared" si="53"/>
        <v>438625834</v>
      </c>
      <c r="X27" s="67">
        <f t="shared" si="53"/>
        <v>438625834</v>
      </c>
      <c r="Y27" s="67">
        <f t="shared" si="53"/>
        <v>453346638.4</v>
      </c>
      <c r="Z27" s="67">
        <f t="shared" si="53"/>
        <v>453346638.4</v>
      </c>
      <c r="AA27" s="67">
        <f t="shared" si="53"/>
        <v>453346638.4</v>
      </c>
      <c r="AB27" s="67">
        <f t="shared" si="53"/>
        <v>453346638.4</v>
      </c>
      <c r="AC27" s="68">
        <f t="shared" si="53"/>
        <v>310854388.8</v>
      </c>
      <c r="AD27" s="69">
        <f t="shared" si="53"/>
        <v>204300132.4</v>
      </c>
      <c r="AE27" s="59"/>
      <c r="AF27" s="69">
        <f t="shared" ref="AF27:AG27" si="54">sum(AF8:AF26)</f>
        <v>145082831.9</v>
      </c>
      <c r="AG27" s="69">
        <f t="shared" si="54"/>
        <v>145082831.9</v>
      </c>
      <c r="AH27" s="14"/>
      <c r="AI27" s="60"/>
      <c r="AJ27" s="60"/>
      <c r="AK27" s="60"/>
      <c r="AL27" s="60"/>
      <c r="AM27" s="60"/>
    </row>
    <row r="28">
      <c r="A28" s="14"/>
      <c r="B28" s="14"/>
      <c r="C28" s="14"/>
      <c r="D28" s="14"/>
      <c r="E28" s="70"/>
      <c r="F28" s="14"/>
      <c r="G28" s="21"/>
      <c r="H28" s="14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14"/>
      <c r="AI28" s="60"/>
      <c r="AJ28" s="60"/>
      <c r="AK28" s="60"/>
      <c r="AL28" s="60"/>
      <c r="AM28" s="60"/>
    </row>
    <row r="29">
      <c r="A29" s="71"/>
      <c r="B29" s="72" t="s">
        <v>26</v>
      </c>
      <c r="C29" s="14"/>
      <c r="D29" s="14"/>
      <c r="E29" s="70"/>
      <c r="F29" s="14"/>
      <c r="G29" s="21"/>
      <c r="H29" s="14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14"/>
      <c r="AI29" s="60"/>
      <c r="AJ29" s="60"/>
      <c r="AK29" s="60"/>
      <c r="AL29" s="60"/>
      <c r="AM29" s="60"/>
    </row>
    <row r="30">
      <c r="A30" s="14"/>
      <c r="B30" s="21" t="s">
        <v>30</v>
      </c>
      <c r="C30" s="48"/>
      <c r="D30" s="48"/>
      <c r="E30" s="49">
        <f t="shared" ref="E30:F30" si="55">sum(E8:E19)+E24+E25</f>
        <v>5566483717</v>
      </c>
      <c r="F30" s="48">
        <f t="shared" si="55"/>
        <v>5414736573</v>
      </c>
      <c r="G30" s="21"/>
      <c r="H30" s="14"/>
      <c r="I30" s="49">
        <f t="shared" ref="I30:AD30" si="56">sum(I8:I19)+I24+I25</f>
        <v>7023868.925</v>
      </c>
      <c r="J30" s="49">
        <f t="shared" si="56"/>
        <v>7023868.925</v>
      </c>
      <c r="K30" s="49">
        <f t="shared" si="56"/>
        <v>7023868.925</v>
      </c>
      <c r="L30" s="49">
        <f t="shared" si="56"/>
        <v>65015556.31</v>
      </c>
      <c r="M30" s="49">
        <f t="shared" si="56"/>
        <v>65015556.31</v>
      </c>
      <c r="N30" s="49">
        <f t="shared" si="56"/>
        <v>65015556.31</v>
      </c>
      <c r="O30" s="49">
        <f t="shared" si="56"/>
        <v>65015556.31</v>
      </c>
      <c r="P30" s="49">
        <f t="shared" si="56"/>
        <v>65015556.31</v>
      </c>
      <c r="Q30" s="49">
        <f t="shared" si="56"/>
        <v>65015556.31</v>
      </c>
      <c r="R30" s="49">
        <f t="shared" si="56"/>
        <v>443931643.5</v>
      </c>
      <c r="S30" s="49">
        <f t="shared" si="56"/>
        <v>443931643.5</v>
      </c>
      <c r="T30" s="49">
        <f t="shared" si="56"/>
        <v>387791062.3</v>
      </c>
      <c r="U30" s="49">
        <f t="shared" si="56"/>
        <v>390046921.7</v>
      </c>
      <c r="V30" s="49">
        <f t="shared" si="56"/>
        <v>390046921.7</v>
      </c>
      <c r="W30" s="49">
        <f t="shared" si="56"/>
        <v>390046921.7</v>
      </c>
      <c r="X30" s="49">
        <f t="shared" si="56"/>
        <v>390046921.7</v>
      </c>
      <c r="Y30" s="49">
        <f t="shared" si="56"/>
        <v>400039002.8</v>
      </c>
      <c r="Z30" s="49">
        <f t="shared" si="56"/>
        <v>400039002.8</v>
      </c>
      <c r="AA30" s="49">
        <f t="shared" si="56"/>
        <v>400039002.8</v>
      </c>
      <c r="AB30" s="49">
        <f t="shared" si="56"/>
        <v>400039002.8</v>
      </c>
      <c r="AC30" s="49">
        <f t="shared" si="56"/>
        <v>282261954</v>
      </c>
      <c r="AD30" s="49">
        <f t="shared" si="56"/>
        <v>175707697.5</v>
      </c>
      <c r="AE30" s="70"/>
      <c r="AF30" s="49">
        <f t="shared" ref="AF30:AG30" si="57">sum(AF8:AF19)+AF24+AF25</f>
        <v>130675536.7</v>
      </c>
      <c r="AG30" s="49">
        <f t="shared" si="57"/>
        <v>130675536.7</v>
      </c>
      <c r="AH30" s="14"/>
      <c r="AI30" s="60"/>
      <c r="AJ30" s="60"/>
      <c r="AK30" s="60"/>
      <c r="AL30" s="60"/>
      <c r="AM30" s="60"/>
    </row>
    <row r="31">
      <c r="A31" s="71"/>
      <c r="B31" s="21" t="s">
        <v>58</v>
      </c>
      <c r="C31" s="48"/>
      <c r="D31" s="48"/>
      <c r="E31" s="49">
        <f t="shared" ref="E31:F31" si="58">E21+E22+E23</f>
        <v>82752277.38</v>
      </c>
      <c r="F31" s="48">
        <f t="shared" si="58"/>
        <v>82018258.51</v>
      </c>
      <c r="G31" s="21"/>
      <c r="H31" s="21"/>
      <c r="I31" s="49">
        <f t="shared" ref="I31:AD31" si="59">I21+I22+I23</f>
        <v>12820.51282</v>
      </c>
      <c r="J31" s="49">
        <f t="shared" si="59"/>
        <v>12820.51282</v>
      </c>
      <c r="K31" s="49">
        <f t="shared" si="59"/>
        <v>12820.51282</v>
      </c>
      <c r="L31" s="49">
        <f t="shared" si="59"/>
        <v>12820.51282</v>
      </c>
      <c r="M31" s="49">
        <f t="shared" si="59"/>
        <v>12820.51282</v>
      </c>
      <c r="N31" s="49">
        <f t="shared" si="59"/>
        <v>12820.51282</v>
      </c>
      <c r="O31" s="49">
        <f t="shared" si="59"/>
        <v>12820.51282</v>
      </c>
      <c r="P31" s="49">
        <f t="shared" si="59"/>
        <v>12820.51282</v>
      </c>
      <c r="Q31" s="49">
        <f t="shared" si="59"/>
        <v>12820.51282</v>
      </c>
      <c r="R31" s="49">
        <f t="shared" si="59"/>
        <v>2208318.391</v>
      </c>
      <c r="S31" s="49">
        <f t="shared" si="59"/>
        <v>2208318.391</v>
      </c>
      <c r="T31" s="49">
        <f t="shared" si="59"/>
        <v>2208318.391</v>
      </c>
      <c r="U31" s="49">
        <f t="shared" si="59"/>
        <v>2208318.391</v>
      </c>
      <c r="V31" s="49">
        <f t="shared" si="59"/>
        <v>5159167.696</v>
      </c>
      <c r="W31" s="49">
        <f t="shared" si="59"/>
        <v>5159167.696</v>
      </c>
      <c r="X31" s="49">
        <f t="shared" si="59"/>
        <v>5159167.696</v>
      </c>
      <c r="Y31" s="49">
        <f t="shared" si="59"/>
        <v>9887891.061</v>
      </c>
      <c r="Z31" s="49">
        <f t="shared" si="59"/>
        <v>9887891.061</v>
      </c>
      <c r="AA31" s="49">
        <f t="shared" si="59"/>
        <v>9887891.061</v>
      </c>
      <c r="AB31" s="49">
        <f t="shared" si="59"/>
        <v>9887891.061</v>
      </c>
      <c r="AC31" s="49">
        <f t="shared" si="59"/>
        <v>8691718.599</v>
      </c>
      <c r="AD31" s="49">
        <f t="shared" si="59"/>
        <v>8691718.599</v>
      </c>
      <c r="AE31" s="70"/>
      <c r="AF31" s="49">
        <f t="shared" ref="AF31:AG31" si="60">AF21+AF22+AF23</f>
        <v>695557.3362</v>
      </c>
      <c r="AG31" s="49">
        <f t="shared" si="60"/>
        <v>695557.3362</v>
      </c>
      <c r="AH31" s="60"/>
      <c r="AI31" s="60"/>
      <c r="AJ31" s="60"/>
      <c r="AK31" s="60"/>
      <c r="AL31" s="60"/>
      <c r="AM31" s="60"/>
    </row>
    <row r="32">
      <c r="A32" s="71"/>
      <c r="B32" s="21" t="s">
        <v>59</v>
      </c>
      <c r="C32" s="48"/>
      <c r="D32" s="48"/>
      <c r="E32" s="49">
        <f t="shared" ref="E32:F32" si="61">E26</f>
        <v>548469514</v>
      </c>
      <c r="F32" s="48">
        <f t="shared" si="61"/>
        <v>532646769.3</v>
      </c>
      <c r="G32" s="21"/>
      <c r="H32" s="21"/>
      <c r="I32" s="49">
        <f t="shared" ref="I32:AD32" si="62">I26</f>
        <v>703668.9438</v>
      </c>
      <c r="J32" s="49">
        <f t="shared" si="62"/>
        <v>703668.9438</v>
      </c>
      <c r="K32" s="49">
        <f t="shared" si="62"/>
        <v>703668.9438</v>
      </c>
      <c r="L32" s="49">
        <f t="shared" si="62"/>
        <v>252734.7521</v>
      </c>
      <c r="M32" s="49">
        <f t="shared" si="62"/>
        <v>252734.7521</v>
      </c>
      <c r="N32" s="49">
        <f t="shared" si="62"/>
        <v>252734.7521</v>
      </c>
      <c r="O32" s="49">
        <f t="shared" si="62"/>
        <v>252734.7521</v>
      </c>
      <c r="P32" s="49">
        <f t="shared" si="62"/>
        <v>252734.7521</v>
      </c>
      <c r="Q32" s="49">
        <f t="shared" si="62"/>
        <v>252734.7521</v>
      </c>
      <c r="R32" s="49">
        <f t="shared" si="62"/>
        <v>43419744.58</v>
      </c>
      <c r="S32" s="49">
        <f t="shared" si="62"/>
        <v>43419744.58</v>
      </c>
      <c r="T32" s="49">
        <f t="shared" si="62"/>
        <v>43419744.58</v>
      </c>
      <c r="U32" s="49">
        <f t="shared" si="62"/>
        <v>43419744.58</v>
      </c>
      <c r="V32" s="49">
        <f t="shared" si="62"/>
        <v>43419744.58</v>
      </c>
      <c r="W32" s="49">
        <f t="shared" si="62"/>
        <v>43419744.58</v>
      </c>
      <c r="X32" s="49">
        <f t="shared" si="62"/>
        <v>43419744.58</v>
      </c>
      <c r="Y32" s="49">
        <f t="shared" si="62"/>
        <v>43419744.58</v>
      </c>
      <c r="Z32" s="49">
        <f t="shared" si="62"/>
        <v>43419744.58</v>
      </c>
      <c r="AA32" s="49">
        <f t="shared" si="62"/>
        <v>43419744.58</v>
      </c>
      <c r="AB32" s="49">
        <f t="shared" si="62"/>
        <v>43419744.58</v>
      </c>
      <c r="AC32" s="49">
        <f t="shared" si="62"/>
        <v>19900716.27</v>
      </c>
      <c r="AD32" s="49">
        <f t="shared" si="62"/>
        <v>19900716.27</v>
      </c>
      <c r="AE32" s="70"/>
      <c r="AF32" s="49">
        <f t="shared" ref="AF32:AG32" si="63">AF26</f>
        <v>13711737.85</v>
      </c>
      <c r="AG32" s="49">
        <f t="shared" si="63"/>
        <v>13711737.85</v>
      </c>
      <c r="AH32" s="60"/>
      <c r="AI32" s="60"/>
      <c r="AJ32" s="60"/>
      <c r="AK32" s="60"/>
      <c r="AL32" s="60"/>
      <c r="AM32" s="60"/>
    </row>
    <row r="33">
      <c r="A33" s="14"/>
      <c r="B33" s="21"/>
      <c r="C33" s="14"/>
      <c r="D33" s="21"/>
      <c r="E33" s="70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60"/>
      <c r="AI33" s="60"/>
      <c r="AJ33" s="60"/>
      <c r="AK33" s="60"/>
      <c r="AL33" s="60"/>
      <c r="AM33" s="60"/>
    </row>
    <row r="34">
      <c r="A34" s="14"/>
      <c r="B34" s="14" t="str">
        <f>Model!B11</f>
        <v>Land</v>
      </c>
      <c r="C34" s="20"/>
      <c r="D34" s="48"/>
      <c r="E34" s="49">
        <f>Model!C11</f>
        <v>3950000</v>
      </c>
      <c r="F34" s="14"/>
      <c r="G34" s="21"/>
      <c r="H34" s="21"/>
      <c r="I34" s="21"/>
      <c r="J34" s="21"/>
      <c r="K34" s="21"/>
      <c r="L34" s="48">
        <f t="shared" ref="L34:L36" si="64">E34</f>
        <v>3950000</v>
      </c>
      <c r="M34" s="48"/>
      <c r="N34" s="48"/>
      <c r="O34" s="48"/>
      <c r="P34" s="48"/>
      <c r="Q34" s="48"/>
      <c r="R34" s="48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60"/>
      <c r="AI34" s="60"/>
      <c r="AJ34" s="60"/>
      <c r="AK34" s="60"/>
      <c r="AL34" s="60"/>
      <c r="AM34" s="60"/>
    </row>
    <row r="35">
      <c r="A35" s="14"/>
      <c r="B35" s="14" t="str">
        <f>Model!B12</f>
        <v>Additional Land</v>
      </c>
      <c r="C35" s="20"/>
      <c r="D35" s="48"/>
      <c r="E35" s="49" t="str">
        <f>Model!C12</f>
        <v/>
      </c>
      <c r="F35" s="21"/>
      <c r="G35" s="21"/>
      <c r="H35" s="21"/>
      <c r="I35" s="21"/>
      <c r="J35" s="21"/>
      <c r="K35" s="21"/>
      <c r="L35" s="48" t="str">
        <f t="shared" si="64"/>
        <v/>
      </c>
      <c r="M35" s="48"/>
      <c r="N35" s="48"/>
      <c r="O35" s="48"/>
      <c r="P35" s="48"/>
      <c r="Q35" s="48"/>
      <c r="R35" s="48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60"/>
      <c r="AI35" s="60"/>
      <c r="AJ35" s="60"/>
      <c r="AK35" s="60"/>
      <c r="AL35" s="60"/>
      <c r="AM35" s="60"/>
    </row>
    <row r="36">
      <c r="A36" s="14"/>
      <c r="B36" s="14" t="str">
        <f>Model!B13</f>
        <v>Grid Connection</v>
      </c>
      <c r="C36" s="20"/>
      <c r="D36" s="48"/>
      <c r="E36" s="64"/>
      <c r="F36" s="14"/>
      <c r="G36" s="21"/>
      <c r="H36" s="21"/>
      <c r="I36" s="21"/>
      <c r="J36" s="21"/>
      <c r="K36" s="21"/>
      <c r="L36" s="48" t="str">
        <f t="shared" si="64"/>
        <v/>
      </c>
      <c r="M36" s="48"/>
      <c r="N36" s="48"/>
      <c r="O36" s="48"/>
      <c r="P36" s="48"/>
      <c r="Q36" s="48"/>
      <c r="R36" s="48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60"/>
      <c r="AI36" s="60"/>
      <c r="AJ36" s="60"/>
      <c r="AK36" s="60"/>
      <c r="AL36" s="60"/>
      <c r="AM36" s="60"/>
    </row>
    <row r="37">
      <c r="A37" s="14"/>
      <c r="B37" s="14" t="str">
        <f>Model!B17</f>
        <v>Stamp Duty &amp; Fees (10%)</v>
      </c>
      <c r="C37" s="20"/>
      <c r="D37" s="48"/>
      <c r="E37" s="49">
        <f>Model!C17</f>
        <v>9795000</v>
      </c>
      <c r="F37" s="14"/>
      <c r="G37" s="38">
        <v>6.0</v>
      </c>
      <c r="H37" s="21"/>
      <c r="I37" s="21"/>
      <c r="J37" s="21"/>
      <c r="K37" s="21"/>
      <c r="L37" s="48">
        <f t="shared" ref="L37:Q37" si="65">$E37/$G37</f>
        <v>1632500</v>
      </c>
      <c r="M37" s="48">
        <f t="shared" si="65"/>
        <v>1632500</v>
      </c>
      <c r="N37" s="48">
        <f t="shared" si="65"/>
        <v>1632500</v>
      </c>
      <c r="O37" s="48">
        <f t="shared" si="65"/>
        <v>1632500</v>
      </c>
      <c r="P37" s="48">
        <f t="shared" si="65"/>
        <v>1632500</v>
      </c>
      <c r="Q37" s="48">
        <f t="shared" si="65"/>
        <v>1632500</v>
      </c>
      <c r="R37" s="48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60"/>
      <c r="AI37" s="60"/>
      <c r="AJ37" s="60"/>
      <c r="AK37" s="60"/>
      <c r="AL37" s="60"/>
      <c r="AM37" s="60"/>
    </row>
    <row r="38">
      <c r="A38" s="14"/>
      <c r="B38" s="14"/>
      <c r="C38" s="14"/>
      <c r="D38" s="14"/>
      <c r="E38" s="70"/>
      <c r="F38" s="14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60"/>
      <c r="AI38" s="60"/>
      <c r="AJ38" s="60"/>
      <c r="AK38" s="60"/>
      <c r="AL38" s="60"/>
      <c r="AM38" s="60"/>
    </row>
    <row r="39">
      <c r="A39" s="14"/>
      <c r="B39" s="72" t="s">
        <v>60</v>
      </c>
      <c r="C39" s="14"/>
      <c r="D39" s="14"/>
      <c r="E39" s="14"/>
      <c r="F39" s="14"/>
      <c r="G39" s="21"/>
      <c r="H39" s="21"/>
      <c r="I39" s="73">
        <f>sum(I30:I37)</f>
        <v>7740358.382</v>
      </c>
      <c r="J39" s="73">
        <f t="shared" ref="J39:AD39" si="66">I39+sum(J30:J37)</f>
        <v>15480716.76</v>
      </c>
      <c r="K39" s="73">
        <f t="shared" si="66"/>
        <v>23221075.15</v>
      </c>
      <c r="L39" s="73">
        <f t="shared" si="66"/>
        <v>94084686.72</v>
      </c>
      <c r="M39" s="73">
        <f t="shared" si="66"/>
        <v>160998298.3</v>
      </c>
      <c r="N39" s="73">
        <f t="shared" si="66"/>
        <v>227911909.9</v>
      </c>
      <c r="O39" s="73">
        <f t="shared" si="66"/>
        <v>294825521.5</v>
      </c>
      <c r="P39" s="73">
        <f t="shared" si="66"/>
        <v>361739133</v>
      </c>
      <c r="Q39" s="73">
        <f t="shared" si="66"/>
        <v>428652744.6</v>
      </c>
      <c r="R39" s="73">
        <f t="shared" si="66"/>
        <v>918212451.1</v>
      </c>
      <c r="S39" s="73">
        <f t="shared" si="66"/>
        <v>1407772158</v>
      </c>
      <c r="T39" s="73">
        <f t="shared" si="66"/>
        <v>1841191283</v>
      </c>
      <c r="U39" s="73">
        <f t="shared" si="66"/>
        <v>2276866268</v>
      </c>
      <c r="V39" s="73">
        <f t="shared" si="66"/>
        <v>2715492102</v>
      </c>
      <c r="W39" s="73">
        <f t="shared" si="66"/>
        <v>3154117936</v>
      </c>
      <c r="X39" s="73">
        <f t="shared" si="66"/>
        <v>3592743770</v>
      </c>
      <c r="Y39" s="73">
        <f t="shared" si="66"/>
        <v>4046090408</v>
      </c>
      <c r="Z39" s="73">
        <f t="shared" si="66"/>
        <v>4499437046</v>
      </c>
      <c r="AA39" s="73">
        <f t="shared" si="66"/>
        <v>4952783685</v>
      </c>
      <c r="AB39" s="73">
        <f t="shared" si="66"/>
        <v>5406130323</v>
      </c>
      <c r="AC39" s="73">
        <f t="shared" si="66"/>
        <v>5716984712</v>
      </c>
      <c r="AD39" s="73">
        <f t="shared" si="66"/>
        <v>5921284844</v>
      </c>
      <c r="AE39" s="20"/>
      <c r="AF39" s="73">
        <f>AD39+sum(AF30:AF37)</f>
        <v>6066367676</v>
      </c>
      <c r="AG39" s="73">
        <f>AF39+sum(AG30:AG37)</f>
        <v>6211450508</v>
      </c>
      <c r="AH39" s="60"/>
      <c r="AI39" s="60"/>
      <c r="AJ39" s="60"/>
      <c r="AK39" s="60"/>
      <c r="AL39" s="60"/>
      <c r="AM39" s="60"/>
    </row>
    <row r="40">
      <c r="A40" s="14"/>
      <c r="B40" s="14"/>
      <c r="C40" s="14"/>
      <c r="D40" s="14"/>
      <c r="E40" s="14"/>
      <c r="F40" s="14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14"/>
      <c r="AI40" s="14"/>
      <c r="AJ40" s="14"/>
      <c r="AK40" s="14"/>
      <c r="AL40" s="14"/>
      <c r="AM40" s="14"/>
    </row>
    <row r="41">
      <c r="A41" s="14"/>
      <c r="B41" s="74" t="s">
        <v>61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</row>
    <row r="42">
      <c r="A42" s="48"/>
      <c r="B42" s="21" t="str">
        <f t="shared" ref="B42:C42" si="67">B8</f>
        <v>Architectural</v>
      </c>
      <c r="C42" s="48">
        <f t="shared" si="67"/>
        <v>1584000</v>
      </c>
      <c r="D42" s="48"/>
      <c r="E42" s="48">
        <f t="shared" ref="E42:E53" si="70">C42/$C$4*$E$4</f>
        <v>25781250</v>
      </c>
      <c r="F42" s="48">
        <f t="shared" ref="F42:AG42" si="68">F8</f>
        <v>21484375</v>
      </c>
      <c r="G42" s="38">
        <f t="shared" si="68"/>
        <v>10</v>
      </c>
      <c r="H42" s="14" t="str">
        <f t="shared" si="68"/>
        <v/>
      </c>
      <c r="I42" s="75" t="str">
        <f t="shared" si="68"/>
        <v/>
      </c>
      <c r="J42" s="76" t="str">
        <f t="shared" si="68"/>
        <v/>
      </c>
      <c r="K42" s="77" t="str">
        <f t="shared" si="68"/>
        <v/>
      </c>
      <c r="L42" s="75" t="str">
        <f t="shared" si="68"/>
        <v/>
      </c>
      <c r="M42" s="76" t="str">
        <f t="shared" si="68"/>
        <v/>
      </c>
      <c r="N42" s="76" t="str">
        <f t="shared" si="68"/>
        <v/>
      </c>
      <c r="O42" s="76" t="str">
        <f t="shared" si="68"/>
        <v/>
      </c>
      <c r="P42" s="76" t="str">
        <f t="shared" si="68"/>
        <v/>
      </c>
      <c r="Q42" s="77" t="str">
        <f t="shared" si="68"/>
        <v/>
      </c>
      <c r="R42" s="75" t="str">
        <f t="shared" si="68"/>
        <v/>
      </c>
      <c r="S42" s="76" t="str">
        <f t="shared" si="68"/>
        <v/>
      </c>
      <c r="T42" s="76" t="str">
        <f t="shared" si="68"/>
        <v/>
      </c>
      <c r="U42" s="78">
        <f t="shared" si="68"/>
        <v>2148437.5</v>
      </c>
      <c r="V42" s="78">
        <f t="shared" si="68"/>
        <v>2148437.5</v>
      </c>
      <c r="W42" s="78">
        <f t="shared" si="68"/>
        <v>2148437.5</v>
      </c>
      <c r="X42" s="78">
        <f t="shared" si="68"/>
        <v>2148437.5</v>
      </c>
      <c r="Y42" s="78">
        <f t="shared" si="68"/>
        <v>2148437.5</v>
      </c>
      <c r="Z42" s="78">
        <f t="shared" si="68"/>
        <v>2148437.5</v>
      </c>
      <c r="AA42" s="78">
        <f t="shared" si="68"/>
        <v>2148437.5</v>
      </c>
      <c r="AB42" s="78">
        <f t="shared" si="68"/>
        <v>2148437.5</v>
      </c>
      <c r="AC42" s="79">
        <f t="shared" si="68"/>
        <v>2148437.5</v>
      </c>
      <c r="AD42" s="80">
        <f t="shared" si="68"/>
        <v>1597556.09</v>
      </c>
      <c r="AE42" s="81" t="str">
        <f t="shared" si="68"/>
        <v/>
      </c>
      <c r="AF42" s="80">
        <f t="shared" si="68"/>
        <v>550881.4103</v>
      </c>
      <c r="AG42" s="80">
        <f t="shared" si="68"/>
        <v>550881.4103</v>
      </c>
      <c r="AH42" s="14"/>
      <c r="AI42" s="14"/>
      <c r="AJ42" s="14"/>
      <c r="AK42" s="14"/>
      <c r="AL42" s="60"/>
      <c r="AM42" s="60"/>
    </row>
    <row r="43">
      <c r="A43" s="48"/>
      <c r="B43" s="21" t="str">
        <f t="shared" ref="B43:C43" si="69">B9</f>
        <v>Civil and Structural</v>
      </c>
      <c r="C43" s="48">
        <f t="shared" si="69"/>
        <v>1606634</v>
      </c>
      <c r="D43" s="48"/>
      <c r="E43" s="48">
        <f t="shared" si="70"/>
        <v>26149641.93</v>
      </c>
      <c r="F43" s="48">
        <f t="shared" ref="F43:AG43" si="71">F9</f>
        <v>21791368.27</v>
      </c>
      <c r="G43" s="38">
        <f t="shared" si="71"/>
        <v>13</v>
      </c>
      <c r="H43" s="14" t="str">
        <f t="shared" si="71"/>
        <v/>
      </c>
      <c r="I43" s="82" t="str">
        <f t="shared" si="71"/>
        <v/>
      </c>
      <c r="J43" s="83" t="str">
        <f t="shared" si="71"/>
        <v/>
      </c>
      <c r="K43" s="84" t="str">
        <f t="shared" si="71"/>
        <v/>
      </c>
      <c r="L43" s="82" t="str">
        <f t="shared" si="71"/>
        <v/>
      </c>
      <c r="M43" s="83" t="str">
        <f t="shared" si="71"/>
        <v/>
      </c>
      <c r="N43" s="83" t="str">
        <f t="shared" si="71"/>
        <v/>
      </c>
      <c r="O43" s="83" t="str">
        <f t="shared" si="71"/>
        <v/>
      </c>
      <c r="P43" s="83" t="str">
        <f t="shared" si="71"/>
        <v/>
      </c>
      <c r="Q43" s="84" t="str">
        <f t="shared" si="71"/>
        <v/>
      </c>
      <c r="R43" s="85">
        <f t="shared" si="71"/>
        <v>1676259.098</v>
      </c>
      <c r="S43" s="86">
        <f t="shared" si="71"/>
        <v>1676259.098</v>
      </c>
      <c r="T43" s="86">
        <f t="shared" si="71"/>
        <v>1676259.098</v>
      </c>
      <c r="U43" s="86">
        <f t="shared" si="71"/>
        <v>1676259.098</v>
      </c>
      <c r="V43" s="86">
        <f t="shared" si="71"/>
        <v>1676259.098</v>
      </c>
      <c r="W43" s="86">
        <f t="shared" si="71"/>
        <v>1676259.098</v>
      </c>
      <c r="X43" s="86">
        <f t="shared" si="71"/>
        <v>1676259.098</v>
      </c>
      <c r="Y43" s="86">
        <f t="shared" si="71"/>
        <v>1676259.098</v>
      </c>
      <c r="Z43" s="86">
        <f t="shared" si="71"/>
        <v>1676259.098</v>
      </c>
      <c r="AA43" s="86">
        <f t="shared" si="71"/>
        <v>1676259.098</v>
      </c>
      <c r="AB43" s="86">
        <f t="shared" si="71"/>
        <v>1676259.098</v>
      </c>
      <c r="AC43" s="87">
        <f t="shared" si="71"/>
        <v>1676259.098</v>
      </c>
      <c r="AD43" s="88">
        <f t="shared" si="71"/>
        <v>1117506.065</v>
      </c>
      <c r="AE43" s="89" t="str">
        <f t="shared" si="71"/>
        <v/>
      </c>
      <c r="AF43" s="88">
        <f t="shared" si="71"/>
        <v>558753.0326</v>
      </c>
      <c r="AG43" s="88">
        <f t="shared" si="71"/>
        <v>558753.0326</v>
      </c>
      <c r="AH43" s="14"/>
      <c r="AI43" s="14"/>
      <c r="AJ43" s="14"/>
      <c r="AK43" s="14"/>
      <c r="AL43" s="60"/>
      <c r="AM43" s="60"/>
    </row>
    <row r="44">
      <c r="A44" s="48"/>
      <c r="B44" s="21" t="str">
        <f t="shared" ref="B44:C44" si="72">B10</f>
        <v>Substations</v>
      </c>
      <c r="C44" s="48">
        <f t="shared" si="72"/>
        <v>21917808.22</v>
      </c>
      <c r="D44" s="48"/>
      <c r="E44" s="48">
        <f t="shared" si="70"/>
        <v>356735159.8</v>
      </c>
      <c r="F44" s="48">
        <f t="shared" ref="F44:AG44" si="73">F10</f>
        <v>297279299.9</v>
      </c>
      <c r="G44" s="38">
        <f t="shared" si="73"/>
        <v>13</v>
      </c>
      <c r="H44" s="14" t="str">
        <f t="shared" si="73"/>
        <v/>
      </c>
      <c r="I44" s="82" t="str">
        <f t="shared" si="73"/>
        <v/>
      </c>
      <c r="J44" s="83" t="str">
        <f t="shared" si="73"/>
        <v/>
      </c>
      <c r="K44" s="84" t="str">
        <f t="shared" si="73"/>
        <v/>
      </c>
      <c r="L44" s="82" t="str">
        <f t="shared" si="73"/>
        <v/>
      </c>
      <c r="M44" s="83" t="str">
        <f t="shared" si="73"/>
        <v/>
      </c>
      <c r="N44" s="83" t="str">
        <f t="shared" si="73"/>
        <v/>
      </c>
      <c r="O44" s="83" t="str">
        <f t="shared" si="73"/>
        <v/>
      </c>
      <c r="P44" s="83" t="str">
        <f t="shared" si="73"/>
        <v/>
      </c>
      <c r="Q44" s="84" t="str">
        <f t="shared" si="73"/>
        <v/>
      </c>
      <c r="R44" s="85">
        <f t="shared" si="73"/>
        <v>22867638.45</v>
      </c>
      <c r="S44" s="86">
        <f t="shared" si="73"/>
        <v>22867638.45</v>
      </c>
      <c r="T44" s="86">
        <f t="shared" si="73"/>
        <v>22867638.45</v>
      </c>
      <c r="U44" s="86">
        <f t="shared" si="73"/>
        <v>22867638.45</v>
      </c>
      <c r="V44" s="86">
        <f t="shared" si="73"/>
        <v>22867638.45</v>
      </c>
      <c r="W44" s="86">
        <f t="shared" si="73"/>
        <v>22867638.45</v>
      </c>
      <c r="X44" s="86">
        <f t="shared" si="73"/>
        <v>22867638.45</v>
      </c>
      <c r="Y44" s="86">
        <f t="shared" si="73"/>
        <v>22867638.45</v>
      </c>
      <c r="Z44" s="86">
        <f t="shared" si="73"/>
        <v>22867638.45</v>
      </c>
      <c r="AA44" s="86">
        <f t="shared" si="73"/>
        <v>22867638.45</v>
      </c>
      <c r="AB44" s="86">
        <f t="shared" si="73"/>
        <v>22867638.45</v>
      </c>
      <c r="AC44" s="87">
        <f t="shared" si="73"/>
        <v>22867638.45</v>
      </c>
      <c r="AD44" s="88">
        <f t="shared" si="73"/>
        <v>15245092.3</v>
      </c>
      <c r="AE44" s="89" t="str">
        <f t="shared" si="73"/>
        <v/>
      </c>
      <c r="AF44" s="88">
        <f t="shared" si="73"/>
        <v>7622546.15</v>
      </c>
      <c r="AG44" s="88">
        <f t="shared" si="73"/>
        <v>7622546.15</v>
      </c>
      <c r="AH44" s="14"/>
      <c r="AI44" s="14"/>
      <c r="AJ44" s="14"/>
      <c r="AK44" s="14"/>
      <c r="AL44" s="60"/>
      <c r="AM44" s="60"/>
    </row>
    <row r="45">
      <c r="A45" s="48"/>
      <c r="B45" s="21" t="str">
        <f t="shared" ref="B45:C45" si="74">B11</f>
        <v>Underground utilities</v>
      </c>
      <c r="C45" s="48">
        <f t="shared" si="74"/>
        <v>750000</v>
      </c>
      <c r="D45" s="48"/>
      <c r="E45" s="48">
        <f t="shared" si="70"/>
        <v>12207031.25</v>
      </c>
      <c r="F45" s="48">
        <f t="shared" ref="F45:AG45" si="75">F11</f>
        <v>10403360.04</v>
      </c>
      <c r="G45" s="38">
        <f t="shared" si="75"/>
        <v>8</v>
      </c>
      <c r="H45" s="14" t="str">
        <f t="shared" si="75"/>
        <v/>
      </c>
      <c r="I45" s="85">
        <f t="shared" si="75"/>
        <v>10000</v>
      </c>
      <c r="J45" s="86">
        <f t="shared" si="75"/>
        <v>10000</v>
      </c>
      <c r="K45" s="87">
        <f t="shared" si="75"/>
        <v>10000</v>
      </c>
      <c r="L45" s="85">
        <f t="shared" si="75"/>
        <v>1300420.005</v>
      </c>
      <c r="M45" s="86">
        <f t="shared" si="75"/>
        <v>1300420.005</v>
      </c>
      <c r="N45" s="86">
        <f t="shared" si="75"/>
        <v>1300420.005</v>
      </c>
      <c r="O45" s="86">
        <f t="shared" si="75"/>
        <v>1300420.005</v>
      </c>
      <c r="P45" s="86">
        <f t="shared" si="75"/>
        <v>1300420.005</v>
      </c>
      <c r="Q45" s="87">
        <f t="shared" si="75"/>
        <v>1300420.005</v>
      </c>
      <c r="R45" s="85">
        <f t="shared" si="75"/>
        <v>1300420.005</v>
      </c>
      <c r="S45" s="86">
        <f t="shared" si="75"/>
        <v>1300420.005</v>
      </c>
      <c r="T45" s="83" t="str">
        <f t="shared" si="75"/>
        <v/>
      </c>
      <c r="U45" s="83" t="str">
        <f t="shared" si="75"/>
        <v/>
      </c>
      <c r="V45" s="83" t="str">
        <f t="shared" si="75"/>
        <v/>
      </c>
      <c r="W45" s="83" t="str">
        <f t="shared" si="75"/>
        <v/>
      </c>
      <c r="X45" s="83" t="str">
        <f t="shared" si="75"/>
        <v/>
      </c>
      <c r="Y45" s="83" t="str">
        <f t="shared" si="75"/>
        <v/>
      </c>
      <c r="Z45" s="83" t="str">
        <f t="shared" si="75"/>
        <v/>
      </c>
      <c r="AA45" s="83" t="str">
        <f t="shared" si="75"/>
        <v/>
      </c>
      <c r="AB45" s="83" t="str">
        <f t="shared" si="75"/>
        <v/>
      </c>
      <c r="AC45" s="84" t="str">
        <f t="shared" si="75"/>
        <v/>
      </c>
      <c r="AD45" s="90" t="str">
        <f t="shared" si="75"/>
        <v/>
      </c>
      <c r="AE45" s="89" t="str">
        <f t="shared" si="75"/>
        <v/>
      </c>
      <c r="AF45" s="90" t="str">
        <f t="shared" si="75"/>
        <v/>
      </c>
      <c r="AG45" s="90" t="str">
        <f t="shared" si="75"/>
        <v/>
      </c>
      <c r="AH45" s="14"/>
      <c r="AI45" s="14"/>
      <c r="AJ45" s="14"/>
      <c r="AK45" s="14"/>
      <c r="AL45" s="60"/>
      <c r="AM45" s="60"/>
    </row>
    <row r="46">
      <c r="A46" s="48"/>
      <c r="B46" s="21" t="str">
        <f t="shared" ref="B46:B73" si="77">B12</f>
        <v>Crusader Modules (Incl surveys and design)</v>
      </c>
      <c r="C46" s="91">
        <f>C12/8*4</f>
        <v>76800000</v>
      </c>
      <c r="D46" s="48"/>
      <c r="E46" s="48">
        <f t="shared" si="70"/>
        <v>1250000000</v>
      </c>
      <c r="F46" s="48">
        <f t="shared" ref="F46:AG46" si="76">F12</f>
        <v>2083033333</v>
      </c>
      <c r="G46" s="38">
        <f t="shared" si="76"/>
        <v>13</v>
      </c>
      <c r="H46" s="14" t="str">
        <f t="shared" si="76"/>
        <v/>
      </c>
      <c r="I46" s="85">
        <f t="shared" si="76"/>
        <v>100000</v>
      </c>
      <c r="J46" s="86">
        <f t="shared" si="76"/>
        <v>100000</v>
      </c>
      <c r="K46" s="87">
        <f t="shared" si="76"/>
        <v>100000</v>
      </c>
      <c r="L46" s="85">
        <f t="shared" si="76"/>
        <v>984615.3846</v>
      </c>
      <c r="M46" s="86">
        <f t="shared" si="76"/>
        <v>984615.3846</v>
      </c>
      <c r="N46" s="86">
        <f t="shared" si="76"/>
        <v>984615.3846</v>
      </c>
      <c r="O46" s="86">
        <f t="shared" si="76"/>
        <v>984615.3846</v>
      </c>
      <c r="P46" s="86">
        <f t="shared" si="76"/>
        <v>984615.3846</v>
      </c>
      <c r="Q46" s="87">
        <f t="shared" si="76"/>
        <v>984615.3846</v>
      </c>
      <c r="R46" s="85">
        <f t="shared" si="76"/>
        <v>169404584.3</v>
      </c>
      <c r="S46" s="86">
        <f t="shared" si="76"/>
        <v>169404584.3</v>
      </c>
      <c r="T46" s="86">
        <f t="shared" si="76"/>
        <v>169404584.3</v>
      </c>
      <c r="U46" s="86">
        <f t="shared" si="76"/>
        <v>169404584.3</v>
      </c>
      <c r="V46" s="86">
        <f t="shared" si="76"/>
        <v>169404584.3</v>
      </c>
      <c r="W46" s="86">
        <f t="shared" si="76"/>
        <v>169404584.3</v>
      </c>
      <c r="X46" s="86">
        <f t="shared" si="76"/>
        <v>169404584.3</v>
      </c>
      <c r="Y46" s="86">
        <f t="shared" si="76"/>
        <v>169404584.3</v>
      </c>
      <c r="Z46" s="86">
        <f t="shared" si="76"/>
        <v>169404584.3</v>
      </c>
      <c r="AA46" s="86">
        <f t="shared" si="76"/>
        <v>169404584.3</v>
      </c>
      <c r="AB46" s="86">
        <f t="shared" si="76"/>
        <v>169404584.3</v>
      </c>
      <c r="AC46" s="87">
        <f t="shared" si="76"/>
        <v>106837606.8</v>
      </c>
      <c r="AD46" s="88">
        <f t="shared" si="76"/>
        <v>53418803.42</v>
      </c>
      <c r="AE46" s="89" t="str">
        <f t="shared" si="76"/>
        <v/>
      </c>
      <c r="AF46" s="88">
        <f t="shared" si="76"/>
        <v>53418803.42</v>
      </c>
      <c r="AG46" s="88">
        <f t="shared" si="76"/>
        <v>53418803.42</v>
      </c>
      <c r="AH46" s="14"/>
      <c r="AI46" s="14"/>
      <c r="AJ46" s="14"/>
      <c r="AK46" s="14"/>
      <c r="AL46" s="60"/>
      <c r="AM46" s="60"/>
    </row>
    <row r="47">
      <c r="A47" s="48"/>
      <c r="B47" s="21" t="str">
        <f t="shared" si="77"/>
        <v>Bess (Incl surveys and design)</v>
      </c>
      <c r="C47" s="48">
        <f>C13</f>
        <v>88704000</v>
      </c>
      <c r="D47" s="48"/>
      <c r="E47" s="48">
        <f t="shared" si="70"/>
        <v>1443750000</v>
      </c>
      <c r="F47" s="48">
        <f t="shared" ref="F47:AG47" si="78">F13</f>
        <v>1202975000</v>
      </c>
      <c r="G47" s="38">
        <f t="shared" si="78"/>
        <v>13</v>
      </c>
      <c r="H47" s="14" t="str">
        <f t="shared" si="78"/>
        <v/>
      </c>
      <c r="I47" s="85">
        <f t="shared" si="78"/>
        <v>50000</v>
      </c>
      <c r="J47" s="86">
        <f t="shared" si="78"/>
        <v>50000</v>
      </c>
      <c r="K47" s="87">
        <f t="shared" si="78"/>
        <v>50000</v>
      </c>
      <c r="L47" s="85">
        <f t="shared" si="78"/>
        <v>568615.3846</v>
      </c>
      <c r="M47" s="86">
        <f t="shared" si="78"/>
        <v>568615.3846</v>
      </c>
      <c r="N47" s="86">
        <f t="shared" si="78"/>
        <v>568615.3846</v>
      </c>
      <c r="O47" s="86">
        <f t="shared" si="78"/>
        <v>568615.3846</v>
      </c>
      <c r="P47" s="86">
        <f t="shared" si="78"/>
        <v>568615.3846</v>
      </c>
      <c r="Q47" s="87">
        <f t="shared" si="78"/>
        <v>568615.3846</v>
      </c>
      <c r="R47" s="85">
        <f t="shared" si="78"/>
        <v>97833261.07</v>
      </c>
      <c r="S47" s="86">
        <f t="shared" si="78"/>
        <v>97833261.07</v>
      </c>
      <c r="T47" s="86">
        <f t="shared" si="78"/>
        <v>97833261.07</v>
      </c>
      <c r="U47" s="86">
        <f t="shared" si="78"/>
        <v>97833261.07</v>
      </c>
      <c r="V47" s="86">
        <f t="shared" si="78"/>
        <v>97833261.07</v>
      </c>
      <c r="W47" s="86">
        <f t="shared" si="78"/>
        <v>97833261.07</v>
      </c>
      <c r="X47" s="86">
        <f t="shared" si="78"/>
        <v>97833261.07</v>
      </c>
      <c r="Y47" s="86">
        <f t="shared" si="78"/>
        <v>97833261.07</v>
      </c>
      <c r="Z47" s="86">
        <f t="shared" si="78"/>
        <v>97833261.07</v>
      </c>
      <c r="AA47" s="86">
        <f t="shared" si="78"/>
        <v>97833261.07</v>
      </c>
      <c r="AB47" s="86">
        <f t="shared" si="78"/>
        <v>97833261.07</v>
      </c>
      <c r="AC47" s="87">
        <f t="shared" si="78"/>
        <v>61698717.95</v>
      </c>
      <c r="AD47" s="88">
        <f t="shared" si="78"/>
        <v>30849358.97</v>
      </c>
      <c r="AE47" s="89" t="str">
        <f t="shared" si="78"/>
        <v/>
      </c>
      <c r="AF47" s="88">
        <f t="shared" si="78"/>
        <v>30849358.97</v>
      </c>
      <c r="AG47" s="88">
        <f t="shared" si="78"/>
        <v>30849358.97</v>
      </c>
      <c r="AH47" s="14"/>
      <c r="AI47" s="14"/>
      <c r="AJ47" s="14"/>
      <c r="AK47" s="14"/>
      <c r="AL47" s="60"/>
      <c r="AM47" s="60"/>
    </row>
    <row r="48">
      <c r="A48" s="48"/>
      <c r="B48" s="21" t="str">
        <f t="shared" si="77"/>
        <v>Main Contractor installation</v>
      </c>
      <c r="C48" s="48">
        <f>C14*0.75</f>
        <v>7788380.25</v>
      </c>
      <c r="D48" s="48"/>
      <c r="E48" s="48">
        <f t="shared" si="70"/>
        <v>126764001.5</v>
      </c>
      <c r="F48" s="48">
        <f t="shared" ref="F48:AG48" si="79">F14</f>
        <v>140848890.5</v>
      </c>
      <c r="G48" s="38">
        <f t="shared" si="79"/>
        <v>13</v>
      </c>
      <c r="H48" s="14" t="str">
        <f t="shared" si="79"/>
        <v/>
      </c>
      <c r="I48" s="82" t="str">
        <f t="shared" si="79"/>
        <v/>
      </c>
      <c r="J48" s="83" t="str">
        <f t="shared" si="79"/>
        <v/>
      </c>
      <c r="K48" s="84" t="str">
        <f t="shared" si="79"/>
        <v/>
      </c>
      <c r="L48" s="82" t="str">
        <f t="shared" si="79"/>
        <v/>
      </c>
      <c r="M48" s="83" t="str">
        <f t="shared" si="79"/>
        <v/>
      </c>
      <c r="N48" s="83" t="str">
        <f t="shared" si="79"/>
        <v/>
      </c>
      <c r="O48" s="83" t="str">
        <f t="shared" si="79"/>
        <v/>
      </c>
      <c r="P48" s="83" t="str">
        <f t="shared" si="79"/>
        <v/>
      </c>
      <c r="Q48" s="84" t="str">
        <f t="shared" si="79"/>
        <v/>
      </c>
      <c r="R48" s="85">
        <f t="shared" si="79"/>
        <v>11491168.22</v>
      </c>
      <c r="S48" s="86">
        <f t="shared" si="79"/>
        <v>11491168.22</v>
      </c>
      <c r="T48" s="86">
        <f t="shared" si="79"/>
        <v>11491168.22</v>
      </c>
      <c r="U48" s="86">
        <f t="shared" si="79"/>
        <v>11491168.22</v>
      </c>
      <c r="V48" s="86">
        <f t="shared" si="79"/>
        <v>11491168.22</v>
      </c>
      <c r="W48" s="86">
        <f t="shared" si="79"/>
        <v>11491168.22</v>
      </c>
      <c r="X48" s="86">
        <f t="shared" si="79"/>
        <v>11491168.22</v>
      </c>
      <c r="Y48" s="86">
        <f t="shared" si="79"/>
        <v>11491168.22</v>
      </c>
      <c r="Z48" s="86">
        <f t="shared" si="79"/>
        <v>11491168.22</v>
      </c>
      <c r="AA48" s="86">
        <f t="shared" si="79"/>
        <v>11491168.22</v>
      </c>
      <c r="AB48" s="86">
        <f t="shared" si="79"/>
        <v>11491168.22</v>
      </c>
      <c r="AC48" s="87">
        <f t="shared" si="79"/>
        <v>7223020.026</v>
      </c>
      <c r="AD48" s="88">
        <f t="shared" si="79"/>
        <v>3611510.013</v>
      </c>
      <c r="AE48" s="89" t="str">
        <f t="shared" si="79"/>
        <v/>
      </c>
      <c r="AF48" s="88">
        <f t="shared" si="79"/>
        <v>3611510.013</v>
      </c>
      <c r="AG48" s="88">
        <f t="shared" si="79"/>
        <v>3611510.013</v>
      </c>
      <c r="AH48" s="14"/>
      <c r="AI48" s="14"/>
      <c r="AJ48" s="14"/>
      <c r="AK48" s="14"/>
      <c r="AL48" s="60"/>
      <c r="AM48" s="60"/>
    </row>
    <row r="49">
      <c r="A49" s="48"/>
      <c r="B49" s="21" t="str">
        <f t="shared" si="77"/>
        <v>Photo Voltaic system</v>
      </c>
      <c r="C49" s="48">
        <f t="shared" ref="C49:C50" si="81">C15</f>
        <v>1883333.333</v>
      </c>
      <c r="D49" s="48"/>
      <c r="E49" s="48">
        <f t="shared" si="70"/>
        <v>30653211.8</v>
      </c>
      <c r="F49" s="48">
        <f t="shared" ref="F49:AG49" si="80">F15</f>
        <v>25544343.17</v>
      </c>
      <c r="G49" s="38">
        <f t="shared" si="80"/>
        <v>6</v>
      </c>
      <c r="H49" s="14" t="str">
        <f t="shared" si="80"/>
        <v/>
      </c>
      <c r="I49" s="82" t="str">
        <f t="shared" si="80"/>
        <v/>
      </c>
      <c r="J49" s="83" t="str">
        <f t="shared" si="80"/>
        <v/>
      </c>
      <c r="K49" s="84" t="str">
        <f t="shared" si="80"/>
        <v/>
      </c>
      <c r="L49" s="82" t="str">
        <f t="shared" si="80"/>
        <v/>
      </c>
      <c r="M49" s="83" t="str">
        <f t="shared" si="80"/>
        <v/>
      </c>
      <c r="N49" s="83" t="str">
        <f t="shared" si="80"/>
        <v/>
      </c>
      <c r="O49" s="83" t="str">
        <f t="shared" si="80"/>
        <v/>
      </c>
      <c r="P49" s="83" t="str">
        <f t="shared" si="80"/>
        <v/>
      </c>
      <c r="Q49" s="84" t="str">
        <f t="shared" si="80"/>
        <v/>
      </c>
      <c r="R49" s="82" t="str">
        <f t="shared" si="80"/>
        <v/>
      </c>
      <c r="S49" s="83" t="str">
        <f t="shared" si="80"/>
        <v/>
      </c>
      <c r="T49" s="83" t="str">
        <f t="shared" si="80"/>
        <v/>
      </c>
      <c r="U49" s="83" t="str">
        <f t="shared" si="80"/>
        <v/>
      </c>
      <c r="V49" s="83" t="str">
        <f t="shared" si="80"/>
        <v/>
      </c>
      <c r="W49" s="83" t="str">
        <f t="shared" si="80"/>
        <v/>
      </c>
      <c r="X49" s="83" t="str">
        <f t="shared" si="80"/>
        <v/>
      </c>
      <c r="Y49" s="86">
        <f t="shared" si="80"/>
        <v>5731102.634</v>
      </c>
      <c r="Z49" s="86">
        <f t="shared" si="80"/>
        <v>5731102.634</v>
      </c>
      <c r="AA49" s="86">
        <f t="shared" si="80"/>
        <v>5731102.634</v>
      </c>
      <c r="AB49" s="86">
        <f t="shared" si="80"/>
        <v>5731102.634</v>
      </c>
      <c r="AC49" s="87">
        <f t="shared" si="80"/>
        <v>1309966.316</v>
      </c>
      <c r="AD49" s="88">
        <f t="shared" si="80"/>
        <v>654983.1581</v>
      </c>
      <c r="AE49" s="89" t="str">
        <f t="shared" si="80"/>
        <v/>
      </c>
      <c r="AF49" s="88">
        <f t="shared" si="80"/>
        <v>654983.1581</v>
      </c>
      <c r="AG49" s="88">
        <f t="shared" si="80"/>
        <v>654983.1581</v>
      </c>
      <c r="AH49" s="14"/>
      <c r="AI49" s="14"/>
      <c r="AJ49" s="14"/>
      <c r="AK49" s="14"/>
      <c r="AL49" s="60"/>
      <c r="AM49" s="60"/>
    </row>
    <row r="50">
      <c r="A50" s="48"/>
      <c r="B50" s="21" t="str">
        <f t="shared" si="77"/>
        <v>Landscaping</v>
      </c>
      <c r="C50" s="48">
        <f t="shared" si="81"/>
        <v>1718500</v>
      </c>
      <c r="D50" s="48"/>
      <c r="E50" s="48">
        <f t="shared" si="70"/>
        <v>27970377.6</v>
      </c>
      <c r="F50" s="48">
        <f t="shared" ref="F50:AG50" si="82">F16</f>
        <v>23308648</v>
      </c>
      <c r="G50" s="38">
        <f t="shared" si="82"/>
        <v>6</v>
      </c>
      <c r="H50" s="14" t="str">
        <f t="shared" si="82"/>
        <v/>
      </c>
      <c r="I50" s="82" t="str">
        <f t="shared" si="82"/>
        <v/>
      </c>
      <c r="J50" s="83" t="str">
        <f t="shared" si="82"/>
        <v/>
      </c>
      <c r="K50" s="84" t="str">
        <f t="shared" si="82"/>
        <v/>
      </c>
      <c r="L50" s="82" t="str">
        <f t="shared" si="82"/>
        <v/>
      </c>
      <c r="M50" s="83" t="str">
        <f t="shared" si="82"/>
        <v/>
      </c>
      <c r="N50" s="83" t="str">
        <f t="shared" si="82"/>
        <v/>
      </c>
      <c r="O50" s="83" t="str">
        <f t="shared" si="82"/>
        <v/>
      </c>
      <c r="P50" s="83" t="str">
        <f t="shared" si="82"/>
        <v/>
      </c>
      <c r="Q50" s="84" t="str">
        <f t="shared" si="82"/>
        <v/>
      </c>
      <c r="R50" s="82" t="str">
        <f t="shared" si="82"/>
        <v/>
      </c>
      <c r="S50" s="83" t="str">
        <f t="shared" si="82"/>
        <v/>
      </c>
      <c r="T50" s="83" t="str">
        <f t="shared" si="82"/>
        <v/>
      </c>
      <c r="U50" s="83" t="str">
        <f t="shared" si="82"/>
        <v/>
      </c>
      <c r="V50" s="83" t="str">
        <f t="shared" si="82"/>
        <v/>
      </c>
      <c r="W50" s="83" t="str">
        <f t="shared" si="82"/>
        <v/>
      </c>
      <c r="X50" s="83" t="str">
        <f t="shared" si="82"/>
        <v/>
      </c>
      <c r="Y50" s="86">
        <f t="shared" si="82"/>
        <v>3785165.06</v>
      </c>
      <c r="Z50" s="86">
        <f t="shared" si="82"/>
        <v>3785165.06</v>
      </c>
      <c r="AA50" s="86">
        <f t="shared" si="82"/>
        <v>3785165.06</v>
      </c>
      <c r="AB50" s="86">
        <f t="shared" si="82"/>
        <v>3785165.06</v>
      </c>
      <c r="AC50" s="87">
        <f t="shared" si="82"/>
        <v>3785165.06</v>
      </c>
      <c r="AD50" s="88">
        <f t="shared" si="82"/>
        <v>3785165.06</v>
      </c>
      <c r="AE50" s="89" t="str">
        <f t="shared" si="82"/>
        <v/>
      </c>
      <c r="AF50" s="88">
        <f t="shared" si="82"/>
        <v>597657.6411</v>
      </c>
      <c r="AG50" s="88">
        <f t="shared" si="82"/>
        <v>597657.6411</v>
      </c>
      <c r="AH50" s="14"/>
      <c r="AI50" s="14"/>
      <c r="AJ50" s="14"/>
      <c r="AK50" s="14"/>
      <c r="AL50" s="60"/>
      <c r="AM50" s="60"/>
    </row>
    <row r="51">
      <c r="A51" s="48"/>
      <c r="B51" s="21" t="str">
        <f t="shared" si="77"/>
        <v>Preliminaries - General</v>
      </c>
      <c r="C51" s="91">
        <f t="shared" ref="C51:C52" si="84">C17*0.75</f>
        <v>34171714.73</v>
      </c>
      <c r="D51" s="48"/>
      <c r="E51" s="48">
        <f t="shared" si="70"/>
        <v>556180252.7</v>
      </c>
      <c r="F51" s="48">
        <f t="shared" ref="F51:AG51" si="83">F17</f>
        <v>617978058.5</v>
      </c>
      <c r="G51" s="38">
        <f t="shared" si="83"/>
        <v>13</v>
      </c>
      <c r="H51" s="14" t="str">
        <f t="shared" si="83"/>
        <v/>
      </c>
      <c r="I51" s="82" t="str">
        <f t="shared" si="83"/>
        <v/>
      </c>
      <c r="J51" s="83" t="str">
        <f t="shared" si="83"/>
        <v/>
      </c>
      <c r="K51" s="84" t="str">
        <f t="shared" si="83"/>
        <v/>
      </c>
      <c r="L51" s="85">
        <f t="shared" si="83"/>
        <v>292065.9378</v>
      </c>
      <c r="M51" s="86">
        <f t="shared" si="83"/>
        <v>292065.9378</v>
      </c>
      <c r="N51" s="86">
        <f t="shared" si="83"/>
        <v>292065.9378</v>
      </c>
      <c r="O51" s="86">
        <f t="shared" si="83"/>
        <v>292065.9378</v>
      </c>
      <c r="P51" s="86">
        <f t="shared" si="83"/>
        <v>292065.9378</v>
      </c>
      <c r="Q51" s="87">
        <f t="shared" si="83"/>
        <v>292065.9378</v>
      </c>
      <c r="R51" s="85">
        <f t="shared" si="83"/>
        <v>46158573.41</v>
      </c>
      <c r="S51" s="86">
        <f t="shared" si="83"/>
        <v>46158573.41</v>
      </c>
      <c r="T51" s="86">
        <f t="shared" si="83"/>
        <v>46158573.41</v>
      </c>
      <c r="U51" s="86">
        <f t="shared" si="83"/>
        <v>46158573.41</v>
      </c>
      <c r="V51" s="86">
        <f t="shared" si="83"/>
        <v>46158573.41</v>
      </c>
      <c r="W51" s="86">
        <f t="shared" si="83"/>
        <v>46158573.41</v>
      </c>
      <c r="X51" s="86">
        <f t="shared" si="83"/>
        <v>46158573.41</v>
      </c>
      <c r="Y51" s="86">
        <f t="shared" si="83"/>
        <v>46158573.41</v>
      </c>
      <c r="Z51" s="86">
        <f t="shared" si="83"/>
        <v>46158573.41</v>
      </c>
      <c r="AA51" s="86">
        <f t="shared" si="83"/>
        <v>46158573.41</v>
      </c>
      <c r="AB51" s="86">
        <f t="shared" si="83"/>
        <v>46158573.41</v>
      </c>
      <c r="AC51" s="87">
        <f t="shared" si="83"/>
        <v>46317882.1</v>
      </c>
      <c r="AD51" s="88">
        <f t="shared" si="83"/>
        <v>46317882.1</v>
      </c>
      <c r="AE51" s="89" t="str">
        <f t="shared" si="83"/>
        <v/>
      </c>
      <c r="AF51" s="88">
        <f t="shared" si="83"/>
        <v>15845591.24</v>
      </c>
      <c r="AG51" s="88">
        <f t="shared" si="83"/>
        <v>15845591.24</v>
      </c>
      <c r="AH51" s="14"/>
      <c r="AI51" s="14"/>
      <c r="AJ51" s="14"/>
      <c r="AK51" s="14"/>
      <c r="AL51" s="60"/>
      <c r="AM51" s="60"/>
    </row>
    <row r="52">
      <c r="A52" s="48"/>
      <c r="B52" s="21" t="str">
        <f t="shared" si="77"/>
        <v>Main Contractor Margin</v>
      </c>
      <c r="C52" s="91">
        <f t="shared" si="84"/>
        <v>9086400</v>
      </c>
      <c r="D52" s="48"/>
      <c r="E52" s="48">
        <f t="shared" si="70"/>
        <v>147890625</v>
      </c>
      <c r="F52" s="48">
        <f t="shared" ref="F52:AG52" si="85">F18</f>
        <v>164322916.7</v>
      </c>
      <c r="G52" s="38">
        <f t="shared" si="85"/>
        <v>13</v>
      </c>
      <c r="H52" s="14" t="str">
        <f t="shared" si="85"/>
        <v/>
      </c>
      <c r="I52" s="82" t="str">
        <f t="shared" si="85"/>
        <v/>
      </c>
      <c r="J52" s="83" t="str">
        <f t="shared" si="85"/>
        <v/>
      </c>
      <c r="K52" s="84" t="str">
        <f t="shared" si="85"/>
        <v/>
      </c>
      <c r="L52" s="85">
        <f t="shared" si="85"/>
        <v>77661.53846</v>
      </c>
      <c r="M52" s="86">
        <f t="shared" si="85"/>
        <v>77661.53846</v>
      </c>
      <c r="N52" s="86">
        <f t="shared" si="85"/>
        <v>77661.53846</v>
      </c>
      <c r="O52" s="86">
        <f t="shared" si="85"/>
        <v>77661.53846</v>
      </c>
      <c r="P52" s="86">
        <f t="shared" si="85"/>
        <v>77661.53846</v>
      </c>
      <c r="Q52" s="87">
        <f t="shared" si="85"/>
        <v>77661.53846</v>
      </c>
      <c r="R52" s="85">
        <f t="shared" si="85"/>
        <v>13363937.72</v>
      </c>
      <c r="S52" s="86">
        <f t="shared" si="85"/>
        <v>13363937.72</v>
      </c>
      <c r="T52" s="86">
        <f t="shared" si="85"/>
        <v>13363937.72</v>
      </c>
      <c r="U52" s="86">
        <f t="shared" si="85"/>
        <v>13363937.72</v>
      </c>
      <c r="V52" s="86">
        <f t="shared" si="85"/>
        <v>13363937.72</v>
      </c>
      <c r="W52" s="86">
        <f t="shared" si="85"/>
        <v>13363937.72</v>
      </c>
      <c r="X52" s="86">
        <f t="shared" si="85"/>
        <v>13363937.72</v>
      </c>
      <c r="Y52" s="86">
        <f t="shared" si="85"/>
        <v>13363937.72</v>
      </c>
      <c r="Z52" s="86">
        <f t="shared" si="85"/>
        <v>13363937.72</v>
      </c>
      <c r="AA52" s="86">
        <f t="shared" si="85"/>
        <v>13363937.72</v>
      </c>
      <c r="AB52" s="86">
        <f t="shared" si="85"/>
        <v>13363937.72</v>
      </c>
      <c r="AC52" s="87">
        <f t="shared" si="85"/>
        <v>8426816.239</v>
      </c>
      <c r="AD52" s="88">
        <f t="shared" si="85"/>
        <v>4213408.12</v>
      </c>
      <c r="AE52" s="89" t="str">
        <f t="shared" si="85"/>
        <v/>
      </c>
      <c r="AF52" s="88">
        <f t="shared" si="85"/>
        <v>4213408.12</v>
      </c>
      <c r="AG52" s="88">
        <f t="shared" si="85"/>
        <v>4213408.12</v>
      </c>
      <c r="AH52" s="14"/>
      <c r="AI52" s="14"/>
      <c r="AJ52" s="14"/>
      <c r="AK52" s="14"/>
      <c r="AL52" s="60"/>
      <c r="AM52" s="60"/>
    </row>
    <row r="53">
      <c r="A53" s="48"/>
      <c r="B53" s="21" t="str">
        <f t="shared" si="77"/>
        <v>Connection</v>
      </c>
      <c r="C53" s="48">
        <f t="shared" ref="C53:C73" si="87">C19</f>
        <v>30000000</v>
      </c>
      <c r="D53" s="48"/>
      <c r="E53" s="48">
        <f t="shared" si="70"/>
        <v>488281250</v>
      </c>
      <c r="F53" s="48">
        <f t="shared" ref="F53:AG53" si="86">F19</f>
        <v>417334401.7</v>
      </c>
      <c r="G53" s="38">
        <f t="shared" si="86"/>
        <v>8</v>
      </c>
      <c r="H53" s="14" t="str">
        <f t="shared" si="86"/>
        <v/>
      </c>
      <c r="I53" s="82" t="str">
        <f t="shared" si="86"/>
        <v/>
      </c>
      <c r="J53" s="83" t="str">
        <f t="shared" si="86"/>
        <v/>
      </c>
      <c r="K53" s="84" t="str">
        <f t="shared" si="86"/>
        <v/>
      </c>
      <c r="L53" s="85">
        <f t="shared" si="86"/>
        <v>52166800.21</v>
      </c>
      <c r="M53" s="86">
        <f t="shared" si="86"/>
        <v>52166800.21</v>
      </c>
      <c r="N53" s="86">
        <f t="shared" si="86"/>
        <v>52166800.21</v>
      </c>
      <c r="O53" s="86">
        <f t="shared" si="86"/>
        <v>52166800.21</v>
      </c>
      <c r="P53" s="86">
        <f t="shared" si="86"/>
        <v>52166800.21</v>
      </c>
      <c r="Q53" s="87">
        <f t="shared" si="86"/>
        <v>52166800.21</v>
      </c>
      <c r="R53" s="85">
        <f t="shared" si="86"/>
        <v>52166800.21</v>
      </c>
      <c r="S53" s="86">
        <f t="shared" si="86"/>
        <v>52166800.21</v>
      </c>
      <c r="T53" s="83" t="str">
        <f t="shared" si="86"/>
        <v/>
      </c>
      <c r="U53" s="83" t="str">
        <f t="shared" si="86"/>
        <v/>
      </c>
      <c r="V53" s="83" t="str">
        <f t="shared" si="86"/>
        <v/>
      </c>
      <c r="W53" s="83" t="str">
        <f t="shared" si="86"/>
        <v/>
      </c>
      <c r="X53" s="83" t="str">
        <f t="shared" si="86"/>
        <v/>
      </c>
      <c r="Y53" s="83" t="str">
        <f t="shared" si="86"/>
        <v/>
      </c>
      <c r="Z53" s="83" t="str">
        <f t="shared" si="86"/>
        <v/>
      </c>
      <c r="AA53" s="83" t="str">
        <f t="shared" si="86"/>
        <v/>
      </c>
      <c r="AB53" s="83" t="str">
        <f t="shared" si="86"/>
        <v/>
      </c>
      <c r="AC53" s="84" t="str">
        <f t="shared" si="86"/>
        <v/>
      </c>
      <c r="AD53" s="90" t="str">
        <f t="shared" si="86"/>
        <v/>
      </c>
      <c r="AE53" s="89" t="str">
        <f t="shared" si="86"/>
        <v/>
      </c>
      <c r="AF53" s="90" t="str">
        <f t="shared" si="86"/>
        <v/>
      </c>
      <c r="AG53" s="90" t="str">
        <f t="shared" si="86"/>
        <v/>
      </c>
      <c r="AH53" s="14"/>
      <c r="AI53" s="14"/>
      <c r="AJ53" s="14"/>
      <c r="AK53" s="14"/>
      <c r="AL53" s="60"/>
      <c r="AM53" s="60"/>
    </row>
    <row r="54">
      <c r="A54" s="48"/>
      <c r="B54" s="21" t="str">
        <f t="shared" si="77"/>
        <v>Land</v>
      </c>
      <c r="C54" s="48" t="str">
        <f t="shared" si="87"/>
        <v/>
      </c>
      <c r="D54" s="21"/>
      <c r="E54" s="21"/>
      <c r="F54" s="21" t="str">
        <f t="shared" ref="F54:AG54" si="88">F20</f>
        <v/>
      </c>
      <c r="G54" s="38">
        <f t="shared" si="88"/>
        <v>4</v>
      </c>
      <c r="H54" s="14" t="str">
        <f t="shared" si="88"/>
        <v/>
      </c>
      <c r="I54" s="82" t="str">
        <f t="shared" si="88"/>
        <v/>
      </c>
      <c r="J54" s="83" t="str">
        <f t="shared" si="88"/>
        <v/>
      </c>
      <c r="K54" s="84" t="str">
        <f t="shared" si="88"/>
        <v/>
      </c>
      <c r="L54" s="82">
        <f t="shared" si="88"/>
        <v>12000000</v>
      </c>
      <c r="M54" s="83" t="str">
        <f t="shared" si="88"/>
        <v/>
      </c>
      <c r="N54" s="83" t="str">
        <f t="shared" si="88"/>
        <v/>
      </c>
      <c r="O54" s="83" t="str">
        <f t="shared" si="88"/>
        <v/>
      </c>
      <c r="P54" s="83" t="str">
        <f t="shared" si="88"/>
        <v/>
      </c>
      <c r="Q54" s="84" t="str">
        <f t="shared" si="88"/>
        <v/>
      </c>
      <c r="R54" s="82" t="str">
        <f t="shared" si="88"/>
        <v/>
      </c>
      <c r="S54" s="83" t="str">
        <f t="shared" si="88"/>
        <v/>
      </c>
      <c r="T54" s="83" t="str">
        <f t="shared" si="88"/>
        <v/>
      </c>
      <c r="U54" s="83" t="str">
        <f t="shared" si="88"/>
        <v/>
      </c>
      <c r="V54" s="83" t="str">
        <f t="shared" si="88"/>
        <v/>
      </c>
      <c r="W54" s="83" t="str">
        <f t="shared" si="88"/>
        <v/>
      </c>
      <c r="X54" s="83" t="str">
        <f t="shared" si="88"/>
        <v/>
      </c>
      <c r="Y54" s="83" t="str">
        <f t="shared" si="88"/>
        <v/>
      </c>
      <c r="Z54" s="83" t="str">
        <f t="shared" si="88"/>
        <v/>
      </c>
      <c r="AA54" s="83" t="str">
        <f t="shared" si="88"/>
        <v/>
      </c>
      <c r="AB54" s="83" t="str">
        <f t="shared" si="88"/>
        <v/>
      </c>
      <c r="AC54" s="84" t="str">
        <f t="shared" si="88"/>
        <v/>
      </c>
      <c r="AD54" s="90" t="str">
        <f t="shared" si="88"/>
        <v/>
      </c>
      <c r="AE54" s="89" t="str">
        <f t="shared" si="88"/>
        <v/>
      </c>
      <c r="AF54" s="90" t="str">
        <f t="shared" si="88"/>
        <v/>
      </c>
      <c r="AG54" s="90" t="str">
        <f t="shared" si="88"/>
        <v/>
      </c>
      <c r="AH54" s="14"/>
      <c r="AI54" s="14"/>
      <c r="AJ54" s="14"/>
      <c r="AK54" s="14"/>
      <c r="AL54" s="60"/>
      <c r="AM54" s="60"/>
    </row>
    <row r="55">
      <c r="A55" s="48"/>
      <c r="B55" s="21" t="str">
        <f t="shared" si="77"/>
        <v>Operations Team</v>
      </c>
      <c r="C55" s="48">
        <f t="shared" si="87"/>
        <v>1909090.909</v>
      </c>
      <c r="D55" s="48"/>
      <c r="E55" s="48">
        <f t="shared" ref="E55:E57" si="90">C55/$C$4*$E$4</f>
        <v>31072443.18</v>
      </c>
      <c r="F55" s="48">
        <f t="shared" ref="F55:AG55" si="89">F21</f>
        <v>26557643.74</v>
      </c>
      <c r="G55" s="38">
        <f t="shared" si="89"/>
        <v>9</v>
      </c>
      <c r="H55" s="14" t="str">
        <f t="shared" si="89"/>
        <v/>
      </c>
      <c r="I55" s="82" t="str">
        <f t="shared" si="89"/>
        <v/>
      </c>
      <c r="J55" s="83" t="str">
        <f t="shared" si="89"/>
        <v/>
      </c>
      <c r="K55" s="84" t="str">
        <f t="shared" si="89"/>
        <v/>
      </c>
      <c r="L55" s="82" t="str">
        <f t="shared" si="89"/>
        <v/>
      </c>
      <c r="M55" s="83" t="str">
        <f t="shared" si="89"/>
        <v/>
      </c>
      <c r="N55" s="83" t="str">
        <f t="shared" si="89"/>
        <v/>
      </c>
      <c r="O55" s="83" t="str">
        <f t="shared" si="89"/>
        <v/>
      </c>
      <c r="P55" s="83" t="str">
        <f t="shared" si="89"/>
        <v/>
      </c>
      <c r="Q55" s="84" t="str">
        <f t="shared" si="89"/>
        <v/>
      </c>
      <c r="R55" s="82" t="str">
        <f t="shared" si="89"/>
        <v/>
      </c>
      <c r="S55" s="83" t="str">
        <f t="shared" si="89"/>
        <v/>
      </c>
      <c r="T55" s="83" t="str">
        <f t="shared" si="89"/>
        <v/>
      </c>
      <c r="U55" s="83" t="str">
        <f t="shared" si="89"/>
        <v/>
      </c>
      <c r="V55" s="86">
        <f t="shared" si="89"/>
        <v>2950849.305</v>
      </c>
      <c r="W55" s="86">
        <f t="shared" si="89"/>
        <v>2950849.305</v>
      </c>
      <c r="X55" s="86">
        <f t="shared" si="89"/>
        <v>2950849.305</v>
      </c>
      <c r="Y55" s="86">
        <f t="shared" si="89"/>
        <v>2950849.305</v>
      </c>
      <c r="Z55" s="86">
        <f t="shared" si="89"/>
        <v>2950849.305</v>
      </c>
      <c r="AA55" s="86">
        <f t="shared" si="89"/>
        <v>2950849.305</v>
      </c>
      <c r="AB55" s="86">
        <f t="shared" si="89"/>
        <v>2950849.305</v>
      </c>
      <c r="AC55" s="87">
        <f t="shared" si="89"/>
        <v>2950849.305</v>
      </c>
      <c r="AD55" s="88">
        <f t="shared" si="89"/>
        <v>2950849.305</v>
      </c>
      <c r="AE55" s="89" t="str">
        <f t="shared" si="89"/>
        <v/>
      </c>
      <c r="AF55" s="90" t="str">
        <f t="shared" si="89"/>
        <v/>
      </c>
      <c r="AG55" s="90" t="str">
        <f t="shared" si="89"/>
        <v/>
      </c>
      <c r="AH55" s="14"/>
      <c r="AI55" s="14"/>
      <c r="AJ55" s="14"/>
      <c r="AK55" s="14"/>
      <c r="AL55" s="60"/>
      <c r="AM55" s="60"/>
    </row>
    <row r="56">
      <c r="A56" s="48"/>
      <c r="B56" s="21" t="str">
        <f t="shared" si="77"/>
        <v>OS&amp;E</v>
      </c>
      <c r="C56" s="48">
        <f t="shared" si="87"/>
        <v>2039540</v>
      </c>
      <c r="D56" s="48"/>
      <c r="E56" s="48">
        <f t="shared" si="90"/>
        <v>33195638.02</v>
      </c>
      <c r="F56" s="48">
        <f t="shared" ref="F56:AG56" si="91">F22</f>
        <v>28372340.19</v>
      </c>
      <c r="G56" s="38">
        <f t="shared" si="91"/>
        <v>6</v>
      </c>
      <c r="H56" s="14" t="str">
        <f t="shared" si="91"/>
        <v/>
      </c>
      <c r="I56" s="82" t="str">
        <f t="shared" si="91"/>
        <v/>
      </c>
      <c r="J56" s="83" t="str">
        <f t="shared" si="91"/>
        <v/>
      </c>
      <c r="K56" s="84" t="str">
        <f t="shared" si="91"/>
        <v/>
      </c>
      <c r="L56" s="82" t="str">
        <f t="shared" si="91"/>
        <v/>
      </c>
      <c r="M56" s="83" t="str">
        <f t="shared" si="91"/>
        <v/>
      </c>
      <c r="N56" s="83" t="str">
        <f t="shared" si="91"/>
        <v/>
      </c>
      <c r="O56" s="83" t="str">
        <f t="shared" si="91"/>
        <v/>
      </c>
      <c r="P56" s="83" t="str">
        <f t="shared" si="91"/>
        <v/>
      </c>
      <c r="Q56" s="84" t="str">
        <f t="shared" si="91"/>
        <v/>
      </c>
      <c r="R56" s="82" t="str">
        <f t="shared" si="91"/>
        <v/>
      </c>
      <c r="S56" s="83" t="str">
        <f t="shared" si="91"/>
        <v/>
      </c>
      <c r="T56" s="83" t="str">
        <f t="shared" si="91"/>
        <v/>
      </c>
      <c r="U56" s="83" t="str">
        <f t="shared" si="91"/>
        <v/>
      </c>
      <c r="V56" s="83" t="str">
        <f t="shared" si="91"/>
        <v/>
      </c>
      <c r="W56" s="83" t="str">
        <f t="shared" si="91"/>
        <v/>
      </c>
      <c r="X56" s="83" t="str">
        <f t="shared" si="91"/>
        <v/>
      </c>
      <c r="Y56" s="86">
        <f t="shared" si="91"/>
        <v>4728723.365</v>
      </c>
      <c r="Z56" s="86">
        <f t="shared" si="91"/>
        <v>4728723.365</v>
      </c>
      <c r="AA56" s="86">
        <f t="shared" si="91"/>
        <v>4728723.365</v>
      </c>
      <c r="AB56" s="86">
        <f t="shared" si="91"/>
        <v>4728723.365</v>
      </c>
      <c r="AC56" s="87">
        <f t="shared" si="91"/>
        <v>4728723.365</v>
      </c>
      <c r="AD56" s="88">
        <f t="shared" si="91"/>
        <v>4728723.365</v>
      </c>
      <c r="AE56" s="89" t="str">
        <f t="shared" si="91"/>
        <v/>
      </c>
      <c r="AF56" s="90" t="str">
        <f t="shared" si="91"/>
        <v/>
      </c>
      <c r="AG56" s="90" t="str">
        <f t="shared" si="91"/>
        <v/>
      </c>
      <c r="AH56" s="14"/>
      <c r="AI56" s="14"/>
      <c r="AJ56" s="14"/>
      <c r="AK56" s="14"/>
      <c r="AL56" s="60"/>
      <c r="AM56" s="60"/>
    </row>
    <row r="57">
      <c r="A57" s="48"/>
      <c r="B57" s="21" t="str">
        <f t="shared" si="77"/>
        <v>Marketing</v>
      </c>
      <c r="C57" s="48">
        <f t="shared" si="87"/>
        <v>2000000</v>
      </c>
      <c r="D57" s="48"/>
      <c r="E57" s="48">
        <f t="shared" si="90"/>
        <v>32552083.33</v>
      </c>
      <c r="F57" s="48">
        <f t="shared" ref="F57:AG57" si="92">F23</f>
        <v>27088274.57</v>
      </c>
      <c r="G57" s="38">
        <f t="shared" si="92"/>
        <v>13</v>
      </c>
      <c r="H57" s="14" t="str">
        <f t="shared" si="92"/>
        <v/>
      </c>
      <c r="I57" s="85">
        <f t="shared" si="92"/>
        <v>12820.51282</v>
      </c>
      <c r="J57" s="86">
        <f t="shared" si="92"/>
        <v>12820.51282</v>
      </c>
      <c r="K57" s="87">
        <f t="shared" si="92"/>
        <v>12820.51282</v>
      </c>
      <c r="L57" s="85">
        <f t="shared" si="92"/>
        <v>12820.51282</v>
      </c>
      <c r="M57" s="86">
        <f t="shared" si="92"/>
        <v>12820.51282</v>
      </c>
      <c r="N57" s="86">
        <f t="shared" si="92"/>
        <v>12820.51282</v>
      </c>
      <c r="O57" s="86">
        <f t="shared" si="92"/>
        <v>12820.51282</v>
      </c>
      <c r="P57" s="86">
        <f t="shared" si="92"/>
        <v>12820.51282</v>
      </c>
      <c r="Q57" s="87">
        <f t="shared" si="92"/>
        <v>12820.51282</v>
      </c>
      <c r="R57" s="85">
        <f t="shared" si="92"/>
        <v>2208318.391</v>
      </c>
      <c r="S57" s="86">
        <f t="shared" si="92"/>
        <v>2208318.391</v>
      </c>
      <c r="T57" s="86">
        <f t="shared" si="92"/>
        <v>2208318.391</v>
      </c>
      <c r="U57" s="86">
        <f t="shared" si="92"/>
        <v>2208318.391</v>
      </c>
      <c r="V57" s="86">
        <f t="shared" si="92"/>
        <v>2208318.391</v>
      </c>
      <c r="W57" s="86">
        <f t="shared" si="92"/>
        <v>2208318.391</v>
      </c>
      <c r="X57" s="86">
        <f t="shared" si="92"/>
        <v>2208318.391</v>
      </c>
      <c r="Y57" s="86">
        <f t="shared" si="92"/>
        <v>2208318.391</v>
      </c>
      <c r="Z57" s="86">
        <f t="shared" si="92"/>
        <v>2208318.391</v>
      </c>
      <c r="AA57" s="86">
        <f t="shared" si="92"/>
        <v>2208318.391</v>
      </c>
      <c r="AB57" s="86">
        <f t="shared" si="92"/>
        <v>2208318.391</v>
      </c>
      <c r="AC57" s="87">
        <f t="shared" si="92"/>
        <v>1012145.929</v>
      </c>
      <c r="AD57" s="88">
        <f t="shared" si="92"/>
        <v>1012145.929</v>
      </c>
      <c r="AE57" s="89" t="str">
        <f t="shared" si="92"/>
        <v/>
      </c>
      <c r="AF57" s="88">
        <f t="shared" si="92"/>
        <v>695557.3362</v>
      </c>
      <c r="AG57" s="88">
        <f t="shared" si="92"/>
        <v>695557.3362</v>
      </c>
      <c r="AH57" s="14"/>
      <c r="AI57" s="14"/>
      <c r="AJ57" s="14"/>
      <c r="AK57" s="14"/>
      <c r="AL57" s="60"/>
      <c r="AM57" s="60"/>
    </row>
    <row r="58">
      <c r="A58" s="48"/>
      <c r="B58" s="21" t="str">
        <f t="shared" si="77"/>
        <v>DM Fee</v>
      </c>
      <c r="C58" s="48">
        <f t="shared" si="87"/>
        <v>18491313.44</v>
      </c>
      <c r="D58" s="48"/>
      <c r="E58" s="48">
        <f>5%*sum(E42:E53)</f>
        <v>224618140.1</v>
      </c>
      <c r="F58" s="48">
        <f t="shared" ref="F58:AG58" si="93">F24</f>
        <v>251315199.8</v>
      </c>
      <c r="G58" s="38">
        <f t="shared" si="93"/>
        <v>24</v>
      </c>
      <c r="H58" s="14" t="str">
        <f t="shared" si="93"/>
        <v/>
      </c>
      <c r="I58" s="85">
        <f t="shared" si="93"/>
        <v>8000</v>
      </c>
      <c r="J58" s="86">
        <f t="shared" si="93"/>
        <v>8000</v>
      </c>
      <c r="K58" s="87">
        <f t="shared" si="93"/>
        <v>8000</v>
      </c>
      <c r="L58" s="85">
        <f t="shared" si="93"/>
        <v>2769508.923</v>
      </c>
      <c r="M58" s="86">
        <f t="shared" si="93"/>
        <v>2769508.923</v>
      </c>
      <c r="N58" s="86">
        <f t="shared" si="93"/>
        <v>2769508.923</v>
      </c>
      <c r="O58" s="86">
        <f t="shared" si="93"/>
        <v>2769508.923</v>
      </c>
      <c r="P58" s="86">
        <f t="shared" si="93"/>
        <v>2769508.923</v>
      </c>
      <c r="Q58" s="87">
        <f t="shared" si="93"/>
        <v>2769508.923</v>
      </c>
      <c r="R58" s="85">
        <f t="shared" si="93"/>
        <v>20813132.12</v>
      </c>
      <c r="S58" s="86">
        <f t="shared" si="93"/>
        <v>20813132.12</v>
      </c>
      <c r="T58" s="86">
        <f t="shared" si="93"/>
        <v>18139771.11</v>
      </c>
      <c r="U58" s="86">
        <f t="shared" si="93"/>
        <v>18247192.99</v>
      </c>
      <c r="V58" s="86">
        <f t="shared" si="93"/>
        <v>18247192.99</v>
      </c>
      <c r="W58" s="86">
        <f t="shared" si="93"/>
        <v>18247192.99</v>
      </c>
      <c r="X58" s="86">
        <f t="shared" si="93"/>
        <v>18247192.99</v>
      </c>
      <c r="Y58" s="86">
        <f t="shared" si="93"/>
        <v>18723006.37</v>
      </c>
      <c r="Z58" s="86">
        <f t="shared" si="93"/>
        <v>18723006.37</v>
      </c>
      <c r="AA58" s="86">
        <f t="shared" si="93"/>
        <v>18723006.37</v>
      </c>
      <c r="AB58" s="86">
        <f t="shared" si="93"/>
        <v>18723006.37</v>
      </c>
      <c r="AC58" s="87">
        <f t="shared" si="93"/>
        <v>13114575.48</v>
      </c>
      <c r="AD58" s="88">
        <f t="shared" si="93"/>
        <v>8040563.265</v>
      </c>
      <c r="AE58" s="89" t="str">
        <f t="shared" si="93"/>
        <v/>
      </c>
      <c r="AF58" s="88">
        <f t="shared" si="93"/>
        <v>5896174.658</v>
      </c>
      <c r="AG58" s="88">
        <f t="shared" si="93"/>
        <v>5896174.658</v>
      </c>
      <c r="AH58" s="14"/>
      <c r="AI58" s="14"/>
      <c r="AJ58" s="14"/>
      <c r="AK58" s="14"/>
      <c r="AL58" s="60"/>
      <c r="AM58" s="60"/>
    </row>
    <row r="59">
      <c r="A59" s="48"/>
      <c r="B59" s="21" t="str">
        <f t="shared" si="77"/>
        <v>DARK Management Fee (3%)</v>
      </c>
      <c r="C59" s="48">
        <f t="shared" si="87"/>
        <v>11827986.4</v>
      </c>
      <c r="D59" s="48"/>
      <c r="E59" s="48">
        <f t="shared" ref="E59:E60" si="95">C59/$C$4*$E$4</f>
        <v>192512799.4</v>
      </c>
      <c r="F59" s="48">
        <f t="shared" ref="F59:AG59" si="94">F25</f>
        <v>137117378.5</v>
      </c>
      <c r="G59" s="38">
        <f t="shared" si="94"/>
        <v>24</v>
      </c>
      <c r="H59" s="14" t="str">
        <f t="shared" si="94"/>
        <v/>
      </c>
      <c r="I59" s="85">
        <f t="shared" si="94"/>
        <v>6855868.925</v>
      </c>
      <c r="J59" s="86">
        <f t="shared" si="94"/>
        <v>6855868.925</v>
      </c>
      <c r="K59" s="87">
        <f t="shared" si="94"/>
        <v>6855868.925</v>
      </c>
      <c r="L59" s="85">
        <f t="shared" si="94"/>
        <v>6855868.925</v>
      </c>
      <c r="M59" s="86">
        <f t="shared" si="94"/>
        <v>6855868.925</v>
      </c>
      <c r="N59" s="86">
        <f t="shared" si="94"/>
        <v>6855868.925</v>
      </c>
      <c r="O59" s="86">
        <f t="shared" si="94"/>
        <v>6855868.925</v>
      </c>
      <c r="P59" s="86">
        <f t="shared" si="94"/>
        <v>6855868.925</v>
      </c>
      <c r="Q59" s="87">
        <f t="shared" si="94"/>
        <v>6855868.925</v>
      </c>
      <c r="R59" s="85">
        <f t="shared" si="94"/>
        <v>6855868.925</v>
      </c>
      <c r="S59" s="86">
        <f t="shared" si="94"/>
        <v>6855868.925</v>
      </c>
      <c r="T59" s="86">
        <f t="shared" si="94"/>
        <v>6855868.925</v>
      </c>
      <c r="U59" s="86">
        <f t="shared" si="94"/>
        <v>6855868.925</v>
      </c>
      <c r="V59" s="86">
        <f t="shared" si="94"/>
        <v>6855868.925</v>
      </c>
      <c r="W59" s="86">
        <f t="shared" si="94"/>
        <v>6855868.925</v>
      </c>
      <c r="X59" s="86">
        <f t="shared" si="94"/>
        <v>6855868.925</v>
      </c>
      <c r="Y59" s="86">
        <f t="shared" si="94"/>
        <v>6855868.925</v>
      </c>
      <c r="Z59" s="86">
        <f t="shared" si="94"/>
        <v>6855868.925</v>
      </c>
      <c r="AA59" s="86">
        <f t="shared" si="94"/>
        <v>6855868.925</v>
      </c>
      <c r="AB59" s="86">
        <f t="shared" si="94"/>
        <v>6855868.925</v>
      </c>
      <c r="AC59" s="87">
        <f t="shared" si="94"/>
        <v>6855868.925</v>
      </c>
      <c r="AD59" s="88">
        <f t="shared" si="94"/>
        <v>6855868.925</v>
      </c>
      <c r="AE59" s="89" t="str">
        <f t="shared" si="94"/>
        <v/>
      </c>
      <c r="AF59" s="88">
        <f t="shared" si="94"/>
        <v>6855868.925</v>
      </c>
      <c r="AG59" s="88">
        <f t="shared" si="94"/>
        <v>6855868.925</v>
      </c>
      <c r="AH59" s="14"/>
      <c r="AI59" s="14"/>
      <c r="AJ59" s="14"/>
      <c r="AK59" s="14"/>
      <c r="AL59" s="60"/>
      <c r="AM59" s="60"/>
    </row>
    <row r="60">
      <c r="A60" s="48"/>
      <c r="B60" s="21" t="str">
        <f t="shared" si="77"/>
        <v>Contingency on all cost (10%)</v>
      </c>
      <c r="C60" s="48">
        <f t="shared" si="87"/>
        <v>39426621.32</v>
      </c>
      <c r="D60" s="48"/>
      <c r="E60" s="48">
        <f t="shared" si="95"/>
        <v>641709331.4</v>
      </c>
      <c r="F60" s="48">
        <f t="shared" ref="F60:AG60" si="96">F26</f>
        <v>532646769.3</v>
      </c>
      <c r="G60" s="38">
        <f t="shared" si="96"/>
        <v>13</v>
      </c>
      <c r="H60" s="14" t="str">
        <f t="shared" si="96"/>
        <v/>
      </c>
      <c r="I60" s="85">
        <f t="shared" si="96"/>
        <v>703668.9438</v>
      </c>
      <c r="J60" s="86">
        <f t="shared" si="96"/>
        <v>703668.9438</v>
      </c>
      <c r="K60" s="87">
        <f t="shared" si="96"/>
        <v>703668.9438</v>
      </c>
      <c r="L60" s="85">
        <f t="shared" si="96"/>
        <v>252734.7521</v>
      </c>
      <c r="M60" s="86">
        <f t="shared" si="96"/>
        <v>252734.7521</v>
      </c>
      <c r="N60" s="86">
        <f t="shared" si="96"/>
        <v>252734.7521</v>
      </c>
      <c r="O60" s="86">
        <f t="shared" si="96"/>
        <v>252734.7521</v>
      </c>
      <c r="P60" s="86">
        <f t="shared" si="96"/>
        <v>252734.7521</v>
      </c>
      <c r="Q60" s="87">
        <f t="shared" si="96"/>
        <v>252734.7521</v>
      </c>
      <c r="R60" s="85">
        <f t="shared" si="96"/>
        <v>43419744.58</v>
      </c>
      <c r="S60" s="86">
        <f t="shared" si="96"/>
        <v>43419744.58</v>
      </c>
      <c r="T60" s="86">
        <f t="shared" si="96"/>
        <v>43419744.58</v>
      </c>
      <c r="U60" s="86">
        <f t="shared" si="96"/>
        <v>43419744.58</v>
      </c>
      <c r="V60" s="86">
        <f t="shared" si="96"/>
        <v>43419744.58</v>
      </c>
      <c r="W60" s="86">
        <f t="shared" si="96"/>
        <v>43419744.58</v>
      </c>
      <c r="X60" s="86">
        <f t="shared" si="96"/>
        <v>43419744.58</v>
      </c>
      <c r="Y60" s="86">
        <f t="shared" si="96"/>
        <v>43419744.58</v>
      </c>
      <c r="Z60" s="86">
        <f t="shared" si="96"/>
        <v>43419744.58</v>
      </c>
      <c r="AA60" s="86">
        <f t="shared" si="96"/>
        <v>43419744.58</v>
      </c>
      <c r="AB60" s="86">
        <f t="shared" si="96"/>
        <v>43419744.58</v>
      </c>
      <c r="AC60" s="87">
        <f t="shared" si="96"/>
        <v>19900716.27</v>
      </c>
      <c r="AD60" s="88">
        <f t="shared" si="96"/>
        <v>19900716.27</v>
      </c>
      <c r="AE60" s="89" t="str">
        <f t="shared" si="96"/>
        <v/>
      </c>
      <c r="AF60" s="88">
        <f t="shared" si="96"/>
        <v>13711737.85</v>
      </c>
      <c r="AG60" s="88">
        <f t="shared" si="96"/>
        <v>13711737.85</v>
      </c>
      <c r="AH60" s="14"/>
      <c r="AI60" s="14"/>
      <c r="AJ60" s="14"/>
      <c r="AK60" s="14"/>
      <c r="AL60" s="60"/>
      <c r="AM60" s="60"/>
    </row>
    <row r="61">
      <c r="A61" s="73"/>
      <c r="B61" s="65" t="str">
        <f t="shared" si="77"/>
        <v>Total</v>
      </c>
      <c r="C61" s="73">
        <f t="shared" si="87"/>
        <v>445520820.9</v>
      </c>
      <c r="D61" s="73"/>
      <c r="E61" s="73">
        <f>sum(E42:E60)</f>
        <v>5648023237</v>
      </c>
      <c r="F61" s="73">
        <f t="shared" ref="F61:AG61" si="97">F27</f>
        <v>6029401601</v>
      </c>
      <c r="G61" s="72" t="str">
        <f t="shared" si="97"/>
        <v/>
      </c>
      <c r="H61" s="72" t="str">
        <f t="shared" si="97"/>
        <v/>
      </c>
      <c r="I61" s="92">
        <f t="shared" si="97"/>
        <v>7740358.382</v>
      </c>
      <c r="J61" s="93">
        <f t="shared" si="97"/>
        <v>7740358.382</v>
      </c>
      <c r="K61" s="94">
        <f t="shared" si="97"/>
        <v>7740358.382</v>
      </c>
      <c r="L61" s="92">
        <f t="shared" si="97"/>
        <v>77281111.58</v>
      </c>
      <c r="M61" s="93">
        <f t="shared" si="97"/>
        <v>65281111.58</v>
      </c>
      <c r="N61" s="93">
        <f t="shared" si="97"/>
        <v>65281111.58</v>
      </c>
      <c r="O61" s="93">
        <f t="shared" si="97"/>
        <v>65281111.58</v>
      </c>
      <c r="P61" s="93">
        <f t="shared" si="97"/>
        <v>65281111.58</v>
      </c>
      <c r="Q61" s="94">
        <f t="shared" si="97"/>
        <v>65281111.58</v>
      </c>
      <c r="R61" s="92">
        <f t="shared" si="97"/>
        <v>489559706.5</v>
      </c>
      <c r="S61" s="93">
        <f t="shared" si="97"/>
        <v>489559706.5</v>
      </c>
      <c r="T61" s="93">
        <f t="shared" si="97"/>
        <v>433419125.3</v>
      </c>
      <c r="U61" s="93">
        <f t="shared" si="97"/>
        <v>435674984.7</v>
      </c>
      <c r="V61" s="93">
        <f t="shared" si="97"/>
        <v>438625834</v>
      </c>
      <c r="W61" s="93">
        <f t="shared" si="97"/>
        <v>438625834</v>
      </c>
      <c r="X61" s="93">
        <f t="shared" si="97"/>
        <v>438625834</v>
      </c>
      <c r="Y61" s="93">
        <f t="shared" si="97"/>
        <v>453346638.4</v>
      </c>
      <c r="Z61" s="93">
        <f t="shared" si="97"/>
        <v>453346638.4</v>
      </c>
      <c r="AA61" s="93">
        <f t="shared" si="97"/>
        <v>453346638.4</v>
      </c>
      <c r="AB61" s="93">
        <f t="shared" si="97"/>
        <v>453346638.4</v>
      </c>
      <c r="AC61" s="94">
        <f t="shared" si="97"/>
        <v>310854388.8</v>
      </c>
      <c r="AD61" s="95">
        <f t="shared" si="97"/>
        <v>204300132.4</v>
      </c>
      <c r="AE61" s="96" t="str">
        <f t="shared" si="97"/>
        <v/>
      </c>
      <c r="AF61" s="95">
        <f t="shared" si="97"/>
        <v>145082831.9</v>
      </c>
      <c r="AG61" s="95">
        <f t="shared" si="97"/>
        <v>145082831.9</v>
      </c>
      <c r="AH61" s="72"/>
      <c r="AI61" s="97"/>
      <c r="AJ61" s="97"/>
      <c r="AK61" s="97"/>
      <c r="AL61" s="97"/>
      <c r="AM61" s="97"/>
    </row>
    <row r="62">
      <c r="A62" s="14"/>
      <c r="B62" s="14" t="str">
        <f t="shared" si="77"/>
        <v/>
      </c>
      <c r="C62" s="14" t="str">
        <f t="shared" si="87"/>
        <v/>
      </c>
      <c r="D62" s="14"/>
      <c r="E62" s="70" t="str">
        <f t="shared" ref="E62:AG62" si="98">E28</f>
        <v/>
      </c>
      <c r="F62" s="14" t="str">
        <f t="shared" si="98"/>
        <v/>
      </c>
      <c r="G62" s="21" t="str">
        <f t="shared" si="98"/>
        <v/>
      </c>
      <c r="H62" s="14" t="str">
        <f t="shared" si="98"/>
        <v/>
      </c>
      <c r="I62" s="21" t="str">
        <f t="shared" si="98"/>
        <v/>
      </c>
      <c r="J62" s="21" t="str">
        <f t="shared" si="98"/>
        <v/>
      </c>
      <c r="K62" s="21" t="str">
        <f t="shared" si="98"/>
        <v/>
      </c>
      <c r="L62" s="21" t="str">
        <f t="shared" si="98"/>
        <v/>
      </c>
      <c r="M62" s="21" t="str">
        <f t="shared" si="98"/>
        <v/>
      </c>
      <c r="N62" s="21" t="str">
        <f t="shared" si="98"/>
        <v/>
      </c>
      <c r="O62" s="21" t="str">
        <f t="shared" si="98"/>
        <v/>
      </c>
      <c r="P62" s="21" t="str">
        <f t="shared" si="98"/>
        <v/>
      </c>
      <c r="Q62" s="21" t="str">
        <f t="shared" si="98"/>
        <v/>
      </c>
      <c r="R62" s="21" t="str">
        <f t="shared" si="98"/>
        <v/>
      </c>
      <c r="S62" s="21" t="str">
        <f t="shared" si="98"/>
        <v/>
      </c>
      <c r="T62" s="21" t="str">
        <f t="shared" si="98"/>
        <v/>
      </c>
      <c r="U62" s="21" t="str">
        <f t="shared" si="98"/>
        <v/>
      </c>
      <c r="V62" s="21" t="str">
        <f t="shared" si="98"/>
        <v/>
      </c>
      <c r="W62" s="21" t="str">
        <f t="shared" si="98"/>
        <v/>
      </c>
      <c r="X62" s="21" t="str">
        <f t="shared" si="98"/>
        <v/>
      </c>
      <c r="Y62" s="21" t="str">
        <f t="shared" si="98"/>
        <v/>
      </c>
      <c r="Z62" s="21" t="str">
        <f t="shared" si="98"/>
        <v/>
      </c>
      <c r="AA62" s="21" t="str">
        <f t="shared" si="98"/>
        <v/>
      </c>
      <c r="AB62" s="21" t="str">
        <f t="shared" si="98"/>
        <v/>
      </c>
      <c r="AC62" s="21" t="str">
        <f t="shared" si="98"/>
        <v/>
      </c>
      <c r="AD62" s="21" t="str">
        <f t="shared" si="98"/>
        <v/>
      </c>
      <c r="AE62" s="21" t="str">
        <f t="shared" si="98"/>
        <v/>
      </c>
      <c r="AF62" s="21" t="str">
        <f t="shared" si="98"/>
        <v/>
      </c>
      <c r="AG62" s="21" t="str">
        <f t="shared" si="98"/>
        <v/>
      </c>
      <c r="AH62" s="14"/>
      <c r="AI62" s="60"/>
      <c r="AJ62" s="60"/>
      <c r="AK62" s="60"/>
      <c r="AL62" s="60"/>
      <c r="AM62" s="60"/>
    </row>
    <row r="63">
      <c r="A63" s="71"/>
      <c r="B63" s="72" t="str">
        <f t="shared" si="77"/>
        <v>Costs</v>
      </c>
      <c r="C63" s="14" t="str">
        <f t="shared" si="87"/>
        <v/>
      </c>
      <c r="D63" s="14"/>
      <c r="E63" s="70" t="str">
        <f t="shared" ref="E63:AG63" si="99">E29</f>
        <v/>
      </c>
      <c r="F63" s="14" t="str">
        <f t="shared" si="99"/>
        <v/>
      </c>
      <c r="G63" s="21" t="str">
        <f t="shared" si="99"/>
        <v/>
      </c>
      <c r="H63" s="14" t="str">
        <f t="shared" si="99"/>
        <v/>
      </c>
      <c r="I63" s="21" t="str">
        <f t="shared" si="99"/>
        <v/>
      </c>
      <c r="J63" s="21" t="str">
        <f t="shared" si="99"/>
        <v/>
      </c>
      <c r="K63" s="21" t="str">
        <f t="shared" si="99"/>
        <v/>
      </c>
      <c r="L63" s="21" t="str">
        <f t="shared" si="99"/>
        <v/>
      </c>
      <c r="M63" s="21" t="str">
        <f t="shared" si="99"/>
        <v/>
      </c>
      <c r="N63" s="21" t="str">
        <f t="shared" si="99"/>
        <v/>
      </c>
      <c r="O63" s="21" t="str">
        <f t="shared" si="99"/>
        <v/>
      </c>
      <c r="P63" s="21" t="str">
        <f t="shared" si="99"/>
        <v/>
      </c>
      <c r="Q63" s="21" t="str">
        <f t="shared" si="99"/>
        <v/>
      </c>
      <c r="R63" s="21" t="str">
        <f t="shared" si="99"/>
        <v/>
      </c>
      <c r="S63" s="21" t="str">
        <f t="shared" si="99"/>
        <v/>
      </c>
      <c r="T63" s="21" t="str">
        <f t="shared" si="99"/>
        <v/>
      </c>
      <c r="U63" s="21" t="str">
        <f t="shared" si="99"/>
        <v/>
      </c>
      <c r="V63" s="21" t="str">
        <f t="shared" si="99"/>
        <v/>
      </c>
      <c r="W63" s="21" t="str">
        <f t="shared" si="99"/>
        <v/>
      </c>
      <c r="X63" s="21" t="str">
        <f t="shared" si="99"/>
        <v/>
      </c>
      <c r="Y63" s="21" t="str">
        <f t="shared" si="99"/>
        <v/>
      </c>
      <c r="Z63" s="21" t="str">
        <f t="shared" si="99"/>
        <v/>
      </c>
      <c r="AA63" s="21" t="str">
        <f t="shared" si="99"/>
        <v/>
      </c>
      <c r="AB63" s="21" t="str">
        <f t="shared" si="99"/>
        <v/>
      </c>
      <c r="AC63" s="21" t="str">
        <f t="shared" si="99"/>
        <v/>
      </c>
      <c r="AD63" s="21" t="str">
        <f t="shared" si="99"/>
        <v/>
      </c>
      <c r="AE63" s="21" t="str">
        <f t="shared" si="99"/>
        <v/>
      </c>
      <c r="AF63" s="21" t="str">
        <f t="shared" si="99"/>
        <v/>
      </c>
      <c r="AG63" s="21" t="str">
        <f t="shared" si="99"/>
        <v/>
      </c>
      <c r="AH63" s="14"/>
      <c r="AI63" s="60"/>
      <c r="AJ63" s="60"/>
      <c r="AK63" s="60"/>
      <c r="AL63" s="60"/>
      <c r="AM63" s="60"/>
    </row>
    <row r="64">
      <c r="A64" s="14"/>
      <c r="B64" s="21" t="str">
        <f t="shared" si="77"/>
        <v>Build</v>
      </c>
      <c r="C64" s="48" t="str">
        <f t="shared" si="87"/>
        <v/>
      </c>
      <c r="D64" s="48"/>
      <c r="E64" s="48">
        <f t="shared" ref="E64:AG64" si="100">E30</f>
        <v>5566483717</v>
      </c>
      <c r="F64" s="48">
        <f t="shared" si="100"/>
        <v>5414736573</v>
      </c>
      <c r="G64" s="21" t="str">
        <f t="shared" si="100"/>
        <v/>
      </c>
      <c r="H64" s="14" t="str">
        <f t="shared" si="100"/>
        <v/>
      </c>
      <c r="I64" s="48">
        <f t="shared" si="100"/>
        <v>7023868.925</v>
      </c>
      <c r="J64" s="48">
        <f t="shared" si="100"/>
        <v>7023868.925</v>
      </c>
      <c r="K64" s="48">
        <f t="shared" si="100"/>
        <v>7023868.925</v>
      </c>
      <c r="L64" s="48">
        <f t="shared" si="100"/>
        <v>65015556.31</v>
      </c>
      <c r="M64" s="48">
        <f t="shared" si="100"/>
        <v>65015556.31</v>
      </c>
      <c r="N64" s="48">
        <f t="shared" si="100"/>
        <v>65015556.31</v>
      </c>
      <c r="O64" s="48">
        <f t="shared" si="100"/>
        <v>65015556.31</v>
      </c>
      <c r="P64" s="48">
        <f t="shared" si="100"/>
        <v>65015556.31</v>
      </c>
      <c r="Q64" s="48">
        <f t="shared" si="100"/>
        <v>65015556.31</v>
      </c>
      <c r="R64" s="48">
        <f t="shared" si="100"/>
        <v>443931643.5</v>
      </c>
      <c r="S64" s="48">
        <f t="shared" si="100"/>
        <v>443931643.5</v>
      </c>
      <c r="T64" s="48">
        <f t="shared" si="100"/>
        <v>387791062.3</v>
      </c>
      <c r="U64" s="48">
        <f t="shared" si="100"/>
        <v>390046921.7</v>
      </c>
      <c r="V64" s="48">
        <f t="shared" si="100"/>
        <v>390046921.7</v>
      </c>
      <c r="W64" s="48">
        <f t="shared" si="100"/>
        <v>390046921.7</v>
      </c>
      <c r="X64" s="48">
        <f t="shared" si="100"/>
        <v>390046921.7</v>
      </c>
      <c r="Y64" s="48">
        <f t="shared" si="100"/>
        <v>400039002.8</v>
      </c>
      <c r="Z64" s="48">
        <f t="shared" si="100"/>
        <v>400039002.8</v>
      </c>
      <c r="AA64" s="48">
        <f t="shared" si="100"/>
        <v>400039002.8</v>
      </c>
      <c r="AB64" s="48">
        <f t="shared" si="100"/>
        <v>400039002.8</v>
      </c>
      <c r="AC64" s="48">
        <f t="shared" si="100"/>
        <v>282261954</v>
      </c>
      <c r="AD64" s="48">
        <f t="shared" si="100"/>
        <v>175707697.5</v>
      </c>
      <c r="AE64" s="21" t="str">
        <f t="shared" si="100"/>
        <v/>
      </c>
      <c r="AF64" s="48">
        <f t="shared" si="100"/>
        <v>130675536.7</v>
      </c>
      <c r="AG64" s="48">
        <f t="shared" si="100"/>
        <v>130675536.7</v>
      </c>
      <c r="AH64" s="14"/>
      <c r="AI64" s="60"/>
      <c r="AJ64" s="60"/>
      <c r="AK64" s="60"/>
      <c r="AL64" s="60"/>
      <c r="AM64" s="60"/>
    </row>
    <row r="65">
      <c r="A65" s="71"/>
      <c r="B65" s="21" t="str">
        <f t="shared" si="77"/>
        <v>Operations</v>
      </c>
      <c r="C65" s="48" t="str">
        <f t="shared" si="87"/>
        <v/>
      </c>
      <c r="D65" s="48"/>
      <c r="E65" s="48">
        <f t="shared" ref="E65:AG65" si="101">E31</f>
        <v>82752277.38</v>
      </c>
      <c r="F65" s="48">
        <f t="shared" si="101"/>
        <v>82018258.51</v>
      </c>
      <c r="G65" s="21" t="str">
        <f t="shared" si="101"/>
        <v/>
      </c>
      <c r="H65" s="21" t="str">
        <f t="shared" si="101"/>
        <v/>
      </c>
      <c r="I65" s="48">
        <f t="shared" si="101"/>
        <v>12820.51282</v>
      </c>
      <c r="J65" s="48">
        <f t="shared" si="101"/>
        <v>12820.51282</v>
      </c>
      <c r="K65" s="48">
        <f t="shared" si="101"/>
        <v>12820.51282</v>
      </c>
      <c r="L65" s="48">
        <f t="shared" si="101"/>
        <v>12820.51282</v>
      </c>
      <c r="M65" s="48">
        <f t="shared" si="101"/>
        <v>12820.51282</v>
      </c>
      <c r="N65" s="48">
        <f t="shared" si="101"/>
        <v>12820.51282</v>
      </c>
      <c r="O65" s="48">
        <f t="shared" si="101"/>
        <v>12820.51282</v>
      </c>
      <c r="P65" s="48">
        <f t="shared" si="101"/>
        <v>12820.51282</v>
      </c>
      <c r="Q65" s="48">
        <f t="shared" si="101"/>
        <v>12820.51282</v>
      </c>
      <c r="R65" s="48">
        <f t="shared" si="101"/>
        <v>2208318.391</v>
      </c>
      <c r="S65" s="48">
        <f t="shared" si="101"/>
        <v>2208318.391</v>
      </c>
      <c r="T65" s="48">
        <f t="shared" si="101"/>
        <v>2208318.391</v>
      </c>
      <c r="U65" s="48">
        <f t="shared" si="101"/>
        <v>2208318.391</v>
      </c>
      <c r="V65" s="48">
        <f t="shared" si="101"/>
        <v>5159167.696</v>
      </c>
      <c r="W65" s="48">
        <f t="shared" si="101"/>
        <v>5159167.696</v>
      </c>
      <c r="X65" s="48">
        <f t="shared" si="101"/>
        <v>5159167.696</v>
      </c>
      <c r="Y65" s="48">
        <f t="shared" si="101"/>
        <v>9887891.061</v>
      </c>
      <c r="Z65" s="48">
        <f t="shared" si="101"/>
        <v>9887891.061</v>
      </c>
      <c r="AA65" s="48">
        <f t="shared" si="101"/>
        <v>9887891.061</v>
      </c>
      <c r="AB65" s="48">
        <f t="shared" si="101"/>
        <v>9887891.061</v>
      </c>
      <c r="AC65" s="48">
        <f t="shared" si="101"/>
        <v>8691718.599</v>
      </c>
      <c r="AD65" s="48">
        <f t="shared" si="101"/>
        <v>8691718.599</v>
      </c>
      <c r="AE65" s="21" t="str">
        <f t="shared" si="101"/>
        <v/>
      </c>
      <c r="AF65" s="48">
        <f t="shared" si="101"/>
        <v>695557.3362</v>
      </c>
      <c r="AG65" s="48">
        <f t="shared" si="101"/>
        <v>695557.3362</v>
      </c>
      <c r="AH65" s="60"/>
      <c r="AI65" s="60"/>
      <c r="AJ65" s="60"/>
      <c r="AK65" s="60"/>
      <c r="AL65" s="60"/>
      <c r="AM65" s="60"/>
    </row>
    <row r="66">
      <c r="A66" s="71"/>
      <c r="B66" s="21" t="str">
        <f t="shared" si="77"/>
        <v>Contingency</v>
      </c>
      <c r="C66" s="48" t="str">
        <f t="shared" si="87"/>
        <v/>
      </c>
      <c r="D66" s="48"/>
      <c r="E66" s="48">
        <f t="shared" ref="E66:AG66" si="102">E32</f>
        <v>548469514</v>
      </c>
      <c r="F66" s="48">
        <f t="shared" si="102"/>
        <v>532646769.3</v>
      </c>
      <c r="G66" s="21" t="str">
        <f t="shared" si="102"/>
        <v/>
      </c>
      <c r="H66" s="21" t="str">
        <f t="shared" si="102"/>
        <v/>
      </c>
      <c r="I66" s="48">
        <f t="shared" si="102"/>
        <v>703668.9438</v>
      </c>
      <c r="J66" s="48">
        <f t="shared" si="102"/>
        <v>703668.9438</v>
      </c>
      <c r="K66" s="48">
        <f t="shared" si="102"/>
        <v>703668.9438</v>
      </c>
      <c r="L66" s="48">
        <f t="shared" si="102"/>
        <v>252734.7521</v>
      </c>
      <c r="M66" s="48">
        <f t="shared" si="102"/>
        <v>252734.7521</v>
      </c>
      <c r="N66" s="48">
        <f t="shared" si="102"/>
        <v>252734.7521</v>
      </c>
      <c r="O66" s="48">
        <f t="shared" si="102"/>
        <v>252734.7521</v>
      </c>
      <c r="P66" s="48">
        <f t="shared" si="102"/>
        <v>252734.7521</v>
      </c>
      <c r="Q66" s="48">
        <f t="shared" si="102"/>
        <v>252734.7521</v>
      </c>
      <c r="R66" s="48">
        <f t="shared" si="102"/>
        <v>43419744.58</v>
      </c>
      <c r="S66" s="48">
        <f t="shared" si="102"/>
        <v>43419744.58</v>
      </c>
      <c r="T66" s="48">
        <f t="shared" si="102"/>
        <v>43419744.58</v>
      </c>
      <c r="U66" s="48">
        <f t="shared" si="102"/>
        <v>43419744.58</v>
      </c>
      <c r="V66" s="48">
        <f t="shared" si="102"/>
        <v>43419744.58</v>
      </c>
      <c r="W66" s="48">
        <f t="shared" si="102"/>
        <v>43419744.58</v>
      </c>
      <c r="X66" s="48">
        <f t="shared" si="102"/>
        <v>43419744.58</v>
      </c>
      <c r="Y66" s="48">
        <f t="shared" si="102"/>
        <v>43419744.58</v>
      </c>
      <c r="Z66" s="48">
        <f t="shared" si="102"/>
        <v>43419744.58</v>
      </c>
      <c r="AA66" s="48">
        <f t="shared" si="102"/>
        <v>43419744.58</v>
      </c>
      <c r="AB66" s="48">
        <f t="shared" si="102"/>
        <v>43419744.58</v>
      </c>
      <c r="AC66" s="48">
        <f t="shared" si="102"/>
        <v>19900716.27</v>
      </c>
      <c r="AD66" s="48">
        <f t="shared" si="102"/>
        <v>19900716.27</v>
      </c>
      <c r="AE66" s="21" t="str">
        <f t="shared" si="102"/>
        <v/>
      </c>
      <c r="AF66" s="48">
        <f t="shared" si="102"/>
        <v>13711737.85</v>
      </c>
      <c r="AG66" s="48">
        <f t="shared" si="102"/>
        <v>13711737.85</v>
      </c>
      <c r="AH66" s="60"/>
      <c r="AI66" s="60"/>
      <c r="AJ66" s="60"/>
      <c r="AK66" s="60"/>
      <c r="AL66" s="60"/>
      <c r="AM66" s="60"/>
    </row>
    <row r="67">
      <c r="A67" s="14"/>
      <c r="B67" s="21" t="str">
        <f t="shared" si="77"/>
        <v/>
      </c>
      <c r="C67" s="14" t="str">
        <f t="shared" si="87"/>
        <v/>
      </c>
      <c r="D67" s="14"/>
      <c r="E67" s="70" t="str">
        <f t="shared" ref="E67:AG67" si="103">E33</f>
        <v/>
      </c>
      <c r="F67" s="21" t="str">
        <f t="shared" si="103"/>
        <v/>
      </c>
      <c r="G67" s="21" t="str">
        <f t="shared" si="103"/>
        <v/>
      </c>
      <c r="H67" s="21" t="str">
        <f t="shared" si="103"/>
        <v/>
      </c>
      <c r="I67" s="21" t="str">
        <f t="shared" si="103"/>
        <v/>
      </c>
      <c r="J67" s="21" t="str">
        <f t="shared" si="103"/>
        <v/>
      </c>
      <c r="K67" s="21" t="str">
        <f t="shared" si="103"/>
        <v/>
      </c>
      <c r="L67" s="21" t="str">
        <f t="shared" si="103"/>
        <v/>
      </c>
      <c r="M67" s="21" t="str">
        <f t="shared" si="103"/>
        <v/>
      </c>
      <c r="N67" s="21" t="str">
        <f t="shared" si="103"/>
        <v/>
      </c>
      <c r="O67" s="21" t="str">
        <f t="shared" si="103"/>
        <v/>
      </c>
      <c r="P67" s="21" t="str">
        <f t="shared" si="103"/>
        <v/>
      </c>
      <c r="Q67" s="21" t="str">
        <f t="shared" si="103"/>
        <v/>
      </c>
      <c r="R67" s="21" t="str">
        <f t="shared" si="103"/>
        <v/>
      </c>
      <c r="S67" s="21" t="str">
        <f t="shared" si="103"/>
        <v/>
      </c>
      <c r="T67" s="21" t="str">
        <f t="shared" si="103"/>
        <v/>
      </c>
      <c r="U67" s="21" t="str">
        <f t="shared" si="103"/>
        <v/>
      </c>
      <c r="V67" s="21" t="str">
        <f t="shared" si="103"/>
        <v/>
      </c>
      <c r="W67" s="21" t="str">
        <f t="shared" si="103"/>
        <v/>
      </c>
      <c r="X67" s="21" t="str">
        <f t="shared" si="103"/>
        <v/>
      </c>
      <c r="Y67" s="21" t="str">
        <f t="shared" si="103"/>
        <v/>
      </c>
      <c r="Z67" s="21" t="str">
        <f t="shared" si="103"/>
        <v/>
      </c>
      <c r="AA67" s="21" t="str">
        <f t="shared" si="103"/>
        <v/>
      </c>
      <c r="AB67" s="21" t="str">
        <f t="shared" si="103"/>
        <v/>
      </c>
      <c r="AC67" s="21" t="str">
        <f t="shared" si="103"/>
        <v/>
      </c>
      <c r="AD67" s="21" t="str">
        <f t="shared" si="103"/>
        <v/>
      </c>
      <c r="AE67" s="21" t="str">
        <f t="shared" si="103"/>
        <v/>
      </c>
      <c r="AF67" s="21" t="str">
        <f t="shared" si="103"/>
        <v/>
      </c>
      <c r="AG67" s="21" t="str">
        <f t="shared" si="103"/>
        <v/>
      </c>
      <c r="AH67" s="14"/>
      <c r="AI67" s="14"/>
      <c r="AJ67" s="14"/>
      <c r="AK67" s="14"/>
      <c r="AL67" s="14"/>
      <c r="AM67" s="14"/>
    </row>
    <row r="68">
      <c r="A68" s="14"/>
      <c r="B68" s="14" t="str">
        <f t="shared" si="77"/>
        <v>Land</v>
      </c>
      <c r="C68" s="14" t="str">
        <f t="shared" si="87"/>
        <v/>
      </c>
      <c r="D68" s="14"/>
      <c r="E68" s="70">
        <f t="shared" ref="E68:AG68" si="104">E34</f>
        <v>3950000</v>
      </c>
      <c r="F68" s="14" t="str">
        <f t="shared" si="104"/>
        <v/>
      </c>
      <c r="G68" s="21" t="str">
        <f t="shared" si="104"/>
        <v/>
      </c>
      <c r="H68" s="21" t="str">
        <f t="shared" si="104"/>
        <v/>
      </c>
      <c r="I68" s="21" t="str">
        <f t="shared" si="104"/>
        <v/>
      </c>
      <c r="J68" s="21" t="str">
        <f t="shared" si="104"/>
        <v/>
      </c>
      <c r="K68" s="21" t="str">
        <f t="shared" si="104"/>
        <v/>
      </c>
      <c r="L68" s="21">
        <f t="shared" si="104"/>
        <v>3950000</v>
      </c>
      <c r="M68" s="21" t="str">
        <f t="shared" si="104"/>
        <v/>
      </c>
      <c r="N68" s="21" t="str">
        <f t="shared" si="104"/>
        <v/>
      </c>
      <c r="O68" s="21" t="str">
        <f t="shared" si="104"/>
        <v/>
      </c>
      <c r="P68" s="21" t="str">
        <f t="shared" si="104"/>
        <v/>
      </c>
      <c r="Q68" s="21" t="str">
        <f t="shared" si="104"/>
        <v/>
      </c>
      <c r="R68" s="21" t="str">
        <f t="shared" si="104"/>
        <v/>
      </c>
      <c r="S68" s="21" t="str">
        <f t="shared" si="104"/>
        <v/>
      </c>
      <c r="T68" s="21" t="str">
        <f t="shared" si="104"/>
        <v/>
      </c>
      <c r="U68" s="21" t="str">
        <f t="shared" si="104"/>
        <v/>
      </c>
      <c r="V68" s="21" t="str">
        <f t="shared" si="104"/>
        <v/>
      </c>
      <c r="W68" s="21" t="str">
        <f t="shared" si="104"/>
        <v/>
      </c>
      <c r="X68" s="21" t="str">
        <f t="shared" si="104"/>
        <v/>
      </c>
      <c r="Y68" s="21" t="str">
        <f t="shared" si="104"/>
        <v/>
      </c>
      <c r="Z68" s="21" t="str">
        <f t="shared" si="104"/>
        <v/>
      </c>
      <c r="AA68" s="21" t="str">
        <f t="shared" si="104"/>
        <v/>
      </c>
      <c r="AB68" s="21" t="str">
        <f t="shared" si="104"/>
        <v/>
      </c>
      <c r="AC68" s="21" t="str">
        <f t="shared" si="104"/>
        <v/>
      </c>
      <c r="AD68" s="21" t="str">
        <f t="shared" si="104"/>
        <v/>
      </c>
      <c r="AE68" s="21" t="str">
        <f t="shared" si="104"/>
        <v/>
      </c>
      <c r="AF68" s="21" t="str">
        <f t="shared" si="104"/>
        <v/>
      </c>
      <c r="AG68" s="21" t="str">
        <f t="shared" si="104"/>
        <v/>
      </c>
      <c r="AH68" s="14"/>
      <c r="AI68" s="14"/>
      <c r="AJ68" s="14"/>
      <c r="AK68" s="14"/>
      <c r="AL68" s="14"/>
      <c r="AM68" s="14"/>
    </row>
    <row r="69">
      <c r="A69" s="14"/>
      <c r="B69" s="14" t="str">
        <f t="shared" si="77"/>
        <v>Additional Land</v>
      </c>
      <c r="C69" s="14" t="str">
        <f t="shared" si="87"/>
        <v/>
      </c>
      <c r="D69" s="14"/>
      <c r="E69" s="70" t="str">
        <f t="shared" ref="E69:AG69" si="105">E35</f>
        <v/>
      </c>
      <c r="F69" s="21" t="str">
        <f t="shared" si="105"/>
        <v/>
      </c>
      <c r="G69" s="21" t="str">
        <f t="shared" si="105"/>
        <v/>
      </c>
      <c r="H69" s="21" t="str">
        <f t="shared" si="105"/>
        <v/>
      </c>
      <c r="I69" s="21" t="str">
        <f t="shared" si="105"/>
        <v/>
      </c>
      <c r="J69" s="21" t="str">
        <f t="shared" si="105"/>
        <v/>
      </c>
      <c r="K69" s="21" t="str">
        <f t="shared" si="105"/>
        <v/>
      </c>
      <c r="L69" s="21" t="str">
        <f t="shared" si="105"/>
        <v/>
      </c>
      <c r="M69" s="21" t="str">
        <f t="shared" si="105"/>
        <v/>
      </c>
      <c r="N69" s="21" t="str">
        <f t="shared" si="105"/>
        <v/>
      </c>
      <c r="O69" s="21" t="str">
        <f t="shared" si="105"/>
        <v/>
      </c>
      <c r="P69" s="21" t="str">
        <f t="shared" si="105"/>
        <v/>
      </c>
      <c r="Q69" s="21" t="str">
        <f t="shared" si="105"/>
        <v/>
      </c>
      <c r="R69" s="21" t="str">
        <f t="shared" si="105"/>
        <v/>
      </c>
      <c r="S69" s="21" t="str">
        <f t="shared" si="105"/>
        <v/>
      </c>
      <c r="T69" s="21" t="str">
        <f t="shared" si="105"/>
        <v/>
      </c>
      <c r="U69" s="21" t="str">
        <f t="shared" si="105"/>
        <v/>
      </c>
      <c r="V69" s="21" t="str">
        <f t="shared" si="105"/>
        <v/>
      </c>
      <c r="W69" s="21" t="str">
        <f t="shared" si="105"/>
        <v/>
      </c>
      <c r="X69" s="21" t="str">
        <f t="shared" si="105"/>
        <v/>
      </c>
      <c r="Y69" s="21" t="str">
        <f t="shared" si="105"/>
        <v/>
      </c>
      <c r="Z69" s="21" t="str">
        <f t="shared" si="105"/>
        <v/>
      </c>
      <c r="AA69" s="21" t="str">
        <f t="shared" si="105"/>
        <v/>
      </c>
      <c r="AB69" s="21" t="str">
        <f t="shared" si="105"/>
        <v/>
      </c>
      <c r="AC69" s="21" t="str">
        <f t="shared" si="105"/>
        <v/>
      </c>
      <c r="AD69" s="21" t="str">
        <f t="shared" si="105"/>
        <v/>
      </c>
      <c r="AE69" s="21" t="str">
        <f t="shared" si="105"/>
        <v/>
      </c>
      <c r="AF69" s="21" t="str">
        <f t="shared" si="105"/>
        <v/>
      </c>
      <c r="AG69" s="21" t="str">
        <f t="shared" si="105"/>
        <v/>
      </c>
      <c r="AH69" s="14"/>
      <c r="AI69" s="14"/>
      <c r="AJ69" s="14"/>
      <c r="AK69" s="14"/>
      <c r="AL69" s="14"/>
      <c r="AM69" s="14"/>
    </row>
    <row r="70">
      <c r="A70" s="14"/>
      <c r="B70" s="14" t="str">
        <f t="shared" si="77"/>
        <v>Grid Connection</v>
      </c>
      <c r="C70" s="14" t="str">
        <f t="shared" si="87"/>
        <v/>
      </c>
      <c r="D70" s="14"/>
      <c r="E70" s="70" t="str">
        <f t="shared" ref="E70:AG70" si="106">E36</f>
        <v/>
      </c>
      <c r="F70" s="14" t="str">
        <f t="shared" si="106"/>
        <v/>
      </c>
      <c r="G70" s="21" t="str">
        <f t="shared" si="106"/>
        <v/>
      </c>
      <c r="H70" s="21" t="str">
        <f t="shared" si="106"/>
        <v/>
      </c>
      <c r="I70" s="21" t="str">
        <f t="shared" si="106"/>
        <v/>
      </c>
      <c r="J70" s="21" t="str">
        <f t="shared" si="106"/>
        <v/>
      </c>
      <c r="K70" s="21" t="str">
        <f t="shared" si="106"/>
        <v/>
      </c>
      <c r="L70" s="21" t="str">
        <f t="shared" si="106"/>
        <v/>
      </c>
      <c r="M70" s="21" t="str">
        <f t="shared" si="106"/>
        <v/>
      </c>
      <c r="N70" s="21" t="str">
        <f t="shared" si="106"/>
        <v/>
      </c>
      <c r="O70" s="21" t="str">
        <f t="shared" si="106"/>
        <v/>
      </c>
      <c r="P70" s="21" t="str">
        <f t="shared" si="106"/>
        <v/>
      </c>
      <c r="Q70" s="21" t="str">
        <f t="shared" si="106"/>
        <v/>
      </c>
      <c r="R70" s="21" t="str">
        <f t="shared" si="106"/>
        <v/>
      </c>
      <c r="S70" s="21" t="str">
        <f t="shared" si="106"/>
        <v/>
      </c>
      <c r="T70" s="21" t="str">
        <f t="shared" si="106"/>
        <v/>
      </c>
      <c r="U70" s="21" t="str">
        <f t="shared" si="106"/>
        <v/>
      </c>
      <c r="V70" s="21" t="str">
        <f t="shared" si="106"/>
        <v/>
      </c>
      <c r="W70" s="21" t="str">
        <f t="shared" si="106"/>
        <v/>
      </c>
      <c r="X70" s="21" t="str">
        <f t="shared" si="106"/>
        <v/>
      </c>
      <c r="Y70" s="21" t="str">
        <f t="shared" si="106"/>
        <v/>
      </c>
      <c r="Z70" s="21" t="str">
        <f t="shared" si="106"/>
        <v/>
      </c>
      <c r="AA70" s="21" t="str">
        <f t="shared" si="106"/>
        <v/>
      </c>
      <c r="AB70" s="21" t="str">
        <f t="shared" si="106"/>
        <v/>
      </c>
      <c r="AC70" s="21" t="str">
        <f t="shared" si="106"/>
        <v/>
      </c>
      <c r="AD70" s="21" t="str">
        <f t="shared" si="106"/>
        <v/>
      </c>
      <c r="AE70" s="21" t="str">
        <f t="shared" si="106"/>
        <v/>
      </c>
      <c r="AF70" s="21" t="str">
        <f t="shared" si="106"/>
        <v/>
      </c>
      <c r="AG70" s="21" t="str">
        <f t="shared" si="106"/>
        <v/>
      </c>
      <c r="AH70" s="14"/>
      <c r="AI70" s="14"/>
      <c r="AJ70" s="14"/>
      <c r="AK70" s="14"/>
      <c r="AL70" s="14"/>
      <c r="AM70" s="14"/>
    </row>
    <row r="71">
      <c r="A71" s="14"/>
      <c r="B71" s="14" t="str">
        <f t="shared" si="77"/>
        <v>Stamp Duty &amp; Fees (10%)</v>
      </c>
      <c r="C71" s="14" t="str">
        <f t="shared" si="87"/>
        <v/>
      </c>
      <c r="D71" s="14"/>
      <c r="E71" s="70">
        <f t="shared" ref="E71:AG71" si="107">E37</f>
        <v>9795000</v>
      </c>
      <c r="F71" s="14" t="str">
        <f t="shared" si="107"/>
        <v/>
      </c>
      <c r="G71" s="14">
        <f t="shared" si="107"/>
        <v>6</v>
      </c>
      <c r="H71" s="21" t="str">
        <f t="shared" si="107"/>
        <v/>
      </c>
      <c r="I71" s="21" t="str">
        <f t="shared" si="107"/>
        <v/>
      </c>
      <c r="J71" s="21" t="str">
        <f t="shared" si="107"/>
        <v/>
      </c>
      <c r="K71" s="21" t="str">
        <f t="shared" si="107"/>
        <v/>
      </c>
      <c r="L71" s="21">
        <f t="shared" si="107"/>
        <v>1632500</v>
      </c>
      <c r="M71" s="21">
        <f t="shared" si="107"/>
        <v>1632500</v>
      </c>
      <c r="N71" s="21">
        <f t="shared" si="107"/>
        <v>1632500</v>
      </c>
      <c r="O71" s="21">
        <f t="shared" si="107"/>
        <v>1632500</v>
      </c>
      <c r="P71" s="21">
        <f t="shared" si="107"/>
        <v>1632500</v>
      </c>
      <c r="Q71" s="21">
        <f t="shared" si="107"/>
        <v>1632500</v>
      </c>
      <c r="R71" s="21" t="str">
        <f t="shared" si="107"/>
        <v/>
      </c>
      <c r="S71" s="21" t="str">
        <f t="shared" si="107"/>
        <v/>
      </c>
      <c r="T71" s="21" t="str">
        <f t="shared" si="107"/>
        <v/>
      </c>
      <c r="U71" s="21" t="str">
        <f t="shared" si="107"/>
        <v/>
      </c>
      <c r="V71" s="21" t="str">
        <f t="shared" si="107"/>
        <v/>
      </c>
      <c r="W71" s="21" t="str">
        <f t="shared" si="107"/>
        <v/>
      </c>
      <c r="X71" s="21" t="str">
        <f t="shared" si="107"/>
        <v/>
      </c>
      <c r="Y71" s="21" t="str">
        <f t="shared" si="107"/>
        <v/>
      </c>
      <c r="Z71" s="21" t="str">
        <f t="shared" si="107"/>
        <v/>
      </c>
      <c r="AA71" s="21" t="str">
        <f t="shared" si="107"/>
        <v/>
      </c>
      <c r="AB71" s="21" t="str">
        <f t="shared" si="107"/>
        <v/>
      </c>
      <c r="AC71" s="21" t="str">
        <f t="shared" si="107"/>
        <v/>
      </c>
      <c r="AD71" s="21" t="str">
        <f t="shared" si="107"/>
        <v/>
      </c>
      <c r="AE71" s="21" t="str">
        <f t="shared" si="107"/>
        <v/>
      </c>
      <c r="AF71" s="21" t="str">
        <f t="shared" si="107"/>
        <v/>
      </c>
      <c r="AG71" s="21" t="str">
        <f t="shared" si="107"/>
        <v/>
      </c>
      <c r="AH71" s="14"/>
      <c r="AI71" s="14"/>
      <c r="AJ71" s="14"/>
      <c r="AK71" s="14"/>
      <c r="AL71" s="14"/>
      <c r="AM71" s="14"/>
    </row>
    <row r="72">
      <c r="A72" s="14"/>
      <c r="B72" s="14" t="str">
        <f t="shared" si="77"/>
        <v/>
      </c>
      <c r="C72" s="14" t="str">
        <f t="shared" si="87"/>
        <v/>
      </c>
      <c r="D72" s="14"/>
      <c r="E72" s="70" t="str">
        <f t="shared" ref="E72:AG72" si="108">E38</f>
        <v/>
      </c>
      <c r="F72" s="14" t="str">
        <f t="shared" si="108"/>
        <v/>
      </c>
      <c r="G72" s="21" t="str">
        <f t="shared" si="108"/>
        <v/>
      </c>
      <c r="H72" s="21" t="str">
        <f t="shared" si="108"/>
        <v/>
      </c>
      <c r="I72" s="21" t="str">
        <f t="shared" si="108"/>
        <v/>
      </c>
      <c r="J72" s="21" t="str">
        <f t="shared" si="108"/>
        <v/>
      </c>
      <c r="K72" s="21" t="str">
        <f t="shared" si="108"/>
        <v/>
      </c>
      <c r="L72" s="21" t="str">
        <f t="shared" si="108"/>
        <v/>
      </c>
      <c r="M72" s="21" t="str">
        <f t="shared" si="108"/>
        <v/>
      </c>
      <c r="N72" s="21" t="str">
        <f t="shared" si="108"/>
        <v/>
      </c>
      <c r="O72" s="21" t="str">
        <f t="shared" si="108"/>
        <v/>
      </c>
      <c r="P72" s="21" t="str">
        <f t="shared" si="108"/>
        <v/>
      </c>
      <c r="Q72" s="21" t="str">
        <f t="shared" si="108"/>
        <v/>
      </c>
      <c r="R72" s="21" t="str">
        <f t="shared" si="108"/>
        <v/>
      </c>
      <c r="S72" s="21" t="str">
        <f t="shared" si="108"/>
        <v/>
      </c>
      <c r="T72" s="21" t="str">
        <f t="shared" si="108"/>
        <v/>
      </c>
      <c r="U72" s="21" t="str">
        <f t="shared" si="108"/>
        <v/>
      </c>
      <c r="V72" s="21" t="str">
        <f t="shared" si="108"/>
        <v/>
      </c>
      <c r="W72" s="21" t="str">
        <f t="shared" si="108"/>
        <v/>
      </c>
      <c r="X72" s="21" t="str">
        <f t="shared" si="108"/>
        <v/>
      </c>
      <c r="Y72" s="21" t="str">
        <f t="shared" si="108"/>
        <v/>
      </c>
      <c r="Z72" s="21" t="str">
        <f t="shared" si="108"/>
        <v/>
      </c>
      <c r="AA72" s="21" t="str">
        <f t="shared" si="108"/>
        <v/>
      </c>
      <c r="AB72" s="21" t="str">
        <f t="shared" si="108"/>
        <v/>
      </c>
      <c r="AC72" s="21" t="str">
        <f t="shared" si="108"/>
        <v/>
      </c>
      <c r="AD72" s="21" t="str">
        <f t="shared" si="108"/>
        <v/>
      </c>
      <c r="AE72" s="21" t="str">
        <f t="shared" si="108"/>
        <v/>
      </c>
      <c r="AF72" s="21" t="str">
        <f t="shared" si="108"/>
        <v/>
      </c>
      <c r="AG72" s="21" t="str">
        <f t="shared" si="108"/>
        <v/>
      </c>
      <c r="AH72" s="14"/>
      <c r="AI72" s="14"/>
      <c r="AJ72" s="14"/>
      <c r="AK72" s="14"/>
      <c r="AL72" s="14"/>
      <c r="AM72" s="14"/>
    </row>
    <row r="73">
      <c r="A73" s="72"/>
      <c r="B73" s="72" t="str">
        <f t="shared" si="77"/>
        <v>Cumulative Costs</v>
      </c>
      <c r="C73" s="72" t="str">
        <f t="shared" si="87"/>
        <v/>
      </c>
      <c r="D73" s="72"/>
      <c r="E73" s="72" t="str">
        <f t="shared" ref="E73:AG73" si="109">E39</f>
        <v/>
      </c>
      <c r="F73" s="72" t="str">
        <f t="shared" si="109"/>
        <v/>
      </c>
      <c r="G73" s="65" t="str">
        <f t="shared" si="109"/>
        <v/>
      </c>
      <c r="H73" s="65" t="str">
        <f t="shared" si="109"/>
        <v/>
      </c>
      <c r="I73" s="65">
        <f t="shared" si="109"/>
        <v>7740358.382</v>
      </c>
      <c r="J73" s="65">
        <f t="shared" si="109"/>
        <v>15480716.76</v>
      </c>
      <c r="K73" s="65">
        <f t="shared" si="109"/>
        <v>23221075.15</v>
      </c>
      <c r="L73" s="65">
        <f t="shared" si="109"/>
        <v>94084686.72</v>
      </c>
      <c r="M73" s="65">
        <f t="shared" si="109"/>
        <v>160998298.3</v>
      </c>
      <c r="N73" s="65">
        <f t="shared" si="109"/>
        <v>227911909.9</v>
      </c>
      <c r="O73" s="65">
        <f t="shared" si="109"/>
        <v>294825521.5</v>
      </c>
      <c r="P73" s="65">
        <f t="shared" si="109"/>
        <v>361739133</v>
      </c>
      <c r="Q73" s="65">
        <f t="shared" si="109"/>
        <v>428652744.6</v>
      </c>
      <c r="R73" s="65">
        <f t="shared" si="109"/>
        <v>918212451.1</v>
      </c>
      <c r="S73" s="65">
        <f t="shared" si="109"/>
        <v>1407772158</v>
      </c>
      <c r="T73" s="65">
        <f t="shared" si="109"/>
        <v>1841191283</v>
      </c>
      <c r="U73" s="65">
        <f t="shared" si="109"/>
        <v>2276866268</v>
      </c>
      <c r="V73" s="65">
        <f t="shared" si="109"/>
        <v>2715492102</v>
      </c>
      <c r="W73" s="65">
        <f t="shared" si="109"/>
        <v>3154117936</v>
      </c>
      <c r="X73" s="65">
        <f t="shared" si="109"/>
        <v>3592743770</v>
      </c>
      <c r="Y73" s="65">
        <f t="shared" si="109"/>
        <v>4046090408</v>
      </c>
      <c r="Z73" s="65">
        <f t="shared" si="109"/>
        <v>4499437046</v>
      </c>
      <c r="AA73" s="65">
        <f t="shared" si="109"/>
        <v>4952783685</v>
      </c>
      <c r="AB73" s="65">
        <f t="shared" si="109"/>
        <v>5406130323</v>
      </c>
      <c r="AC73" s="65">
        <f t="shared" si="109"/>
        <v>5716984712</v>
      </c>
      <c r="AD73" s="65">
        <f t="shared" si="109"/>
        <v>5921284844</v>
      </c>
      <c r="AE73" s="72" t="str">
        <f t="shared" si="109"/>
        <v/>
      </c>
      <c r="AF73" s="65">
        <f t="shared" si="109"/>
        <v>6066367676</v>
      </c>
      <c r="AG73" s="65">
        <f t="shared" si="109"/>
        <v>6211450508</v>
      </c>
      <c r="AH73" s="72"/>
      <c r="AI73" s="72"/>
      <c r="AJ73" s="72"/>
      <c r="AK73" s="72"/>
      <c r="AL73" s="72"/>
      <c r="AM73" s="72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</row>
    <row r="75">
      <c r="A75" s="72"/>
      <c r="B75" s="74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</row>
    <row r="76">
      <c r="A76" s="14"/>
      <c r="B76" s="14"/>
      <c r="D76" s="14"/>
      <c r="E76" s="14" t="str">
        <f t="shared" ref="E76:E77" si="110">#REF!</f>
        <v>#REF!</v>
      </c>
      <c r="F76" s="14"/>
      <c r="G76" s="14"/>
      <c r="H76" s="14"/>
      <c r="I76" s="14"/>
      <c r="J76" s="14"/>
      <c r="K76" s="14"/>
      <c r="L76" s="14" t="str">
        <f t="shared" ref="L76:L77" si="111">E76</f>
        <v>#REF!</v>
      </c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</row>
    <row r="77">
      <c r="A77" s="14"/>
      <c r="B77" s="14"/>
      <c r="D77" s="14"/>
      <c r="E77" s="14" t="str">
        <f t="shared" si="110"/>
        <v>#REF!</v>
      </c>
      <c r="F77" s="14"/>
      <c r="G77" s="14"/>
      <c r="H77" s="14"/>
      <c r="I77" s="14"/>
      <c r="J77" s="14"/>
      <c r="K77" s="14"/>
      <c r="L77" s="14" t="str">
        <f t="shared" si="111"/>
        <v>#REF!</v>
      </c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</row>
    <row r="1003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</row>
    <row r="1004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</row>
    <row r="100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</row>
    <row r="1006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</row>
    <row r="1007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</row>
    <row r="1008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</row>
    <row r="1009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</row>
    <row r="1010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</row>
    <row r="1011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</row>
    <row r="1012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</row>
    <row r="1013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</row>
    <row r="1014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</row>
    <row r="1015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</row>
  </sheetData>
  <mergeCells count="3">
    <mergeCell ref="I5:K5"/>
    <mergeCell ref="L5:Q5"/>
    <mergeCell ref="R5:AC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88"/>
  </cols>
  <sheetData>
    <row r="2">
      <c r="C2" s="1" t="s">
        <v>62</v>
      </c>
    </row>
    <row r="3">
      <c r="B3" s="1" t="s">
        <v>39</v>
      </c>
      <c r="C3" s="98">
        <v>2.5E7</v>
      </c>
    </row>
    <row r="4">
      <c r="B4" s="1" t="s">
        <v>40</v>
      </c>
      <c r="C4" s="98">
        <v>1.35E8</v>
      </c>
    </row>
    <row r="5">
      <c r="B5" s="1" t="s">
        <v>41</v>
      </c>
      <c r="C5" s="98">
        <v>5.5E7</v>
      </c>
    </row>
    <row r="6">
      <c r="B6" s="1" t="s">
        <v>42</v>
      </c>
      <c r="C6" s="98">
        <v>3.0E7</v>
      </c>
    </row>
    <row r="7">
      <c r="B7" s="1" t="s">
        <v>63</v>
      </c>
      <c r="C7" s="98">
        <v>2.95E8</v>
      </c>
    </row>
    <row r="8">
      <c r="B8" s="1" t="s">
        <v>64</v>
      </c>
      <c r="C8" s="98">
        <v>1.25E8</v>
      </c>
    </row>
    <row r="9">
      <c r="B9" s="1" t="s">
        <v>65</v>
      </c>
      <c r="C9" s="98">
        <v>4.2E7</v>
      </c>
    </row>
    <row r="10">
      <c r="B10" s="1" t="s">
        <v>66</v>
      </c>
      <c r="C10" s="98">
        <v>1.8E7</v>
      </c>
    </row>
    <row r="11">
      <c r="B11" s="1" t="s">
        <v>47</v>
      </c>
      <c r="C11" s="98">
        <v>1.2E7</v>
      </c>
    </row>
    <row r="12">
      <c r="B12" s="1" t="s">
        <v>67</v>
      </c>
      <c r="C12" s="98">
        <v>1.1E8</v>
      </c>
    </row>
    <row r="13">
      <c r="B13" s="1" t="s">
        <v>68</v>
      </c>
      <c r="C13" s="98">
        <v>3.5E7</v>
      </c>
    </row>
    <row r="14">
      <c r="B14" s="1" t="s">
        <v>69</v>
      </c>
      <c r="C14" s="98">
        <v>9.5E7</v>
      </c>
      <c r="E14" s="99">
        <f>sum(C3:C14)</f>
        <v>977000000</v>
      </c>
    </row>
    <row r="15">
      <c r="B15" s="1" t="s">
        <v>70</v>
      </c>
      <c r="C15" s="98">
        <v>8000000.0</v>
      </c>
    </row>
    <row r="16">
      <c r="B16" s="1" t="s">
        <v>71</v>
      </c>
      <c r="C16" s="98">
        <v>9000000.0</v>
      </c>
    </row>
    <row r="17">
      <c r="B17" s="1" t="s">
        <v>52</v>
      </c>
      <c r="C17" s="98">
        <v>1.2E7</v>
      </c>
    </row>
    <row r="18">
      <c r="B18" s="1" t="s">
        <v>72</v>
      </c>
      <c r="C18" s="98">
        <v>5000000.0</v>
      </c>
    </row>
    <row r="19">
      <c r="B19" s="1" t="s">
        <v>73</v>
      </c>
      <c r="C19" s="98">
        <v>3.0E7</v>
      </c>
    </row>
    <row r="20">
      <c r="B20" s="1" t="s">
        <v>74</v>
      </c>
      <c r="C20" s="98">
        <v>3.0E7</v>
      </c>
    </row>
    <row r="21">
      <c r="B21" s="1" t="s">
        <v>75</v>
      </c>
      <c r="C21" s="98">
        <v>1.0E8</v>
      </c>
    </row>
    <row r="22">
      <c r="C22" s="99">
        <f>SUM(C3:C21)</f>
        <v>1171000000</v>
      </c>
    </row>
    <row r="23">
      <c r="C23" s="98"/>
    </row>
  </sheetData>
  <drawing r:id="rId1"/>
</worksheet>
</file>