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peline" sheetId="1" r:id="rId4"/>
    <sheet state="visible" name="Model" sheetId="2" r:id="rId5"/>
    <sheet state="visible" name="Cost Plan" sheetId="3" r:id="rId6"/>
    <sheet state="visible" name="Existing Asset" sheetId="4" r:id="rId7"/>
  </sheets>
  <definedNames>
    <definedName hidden="1" localSheetId="0" name="_xlnm._FilterDatabase">Pipeline!$B$6:$AF$60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Appreciation/Depreciation
	-Nathan McNamara</t>
      </text>
    </comment>
  </commentList>
</comments>
</file>

<file path=xl/sharedStrings.xml><?xml version="1.0" encoding="utf-8"?>
<sst xmlns="http://schemas.openxmlformats.org/spreadsheetml/2006/main" count="598" uniqueCount="320">
  <si>
    <t>Dollar to GBP</t>
  </si>
  <si>
    <t>Acre to sqm</t>
  </si>
  <si>
    <t>Dollar to Euro</t>
  </si>
  <si>
    <t>Acre to Hectare</t>
  </si>
  <si>
    <t>MRC/kW/m</t>
  </si>
  <si>
    <t>Cost per MW</t>
  </si>
  <si>
    <t>Hectare to sqm</t>
  </si>
  <si>
    <t>Indexing</t>
  </si>
  <si>
    <t>PUE</t>
  </si>
  <si>
    <t>Opex</t>
  </si>
  <si>
    <t xml:space="preserve">Code </t>
  </si>
  <si>
    <t>Project Name</t>
  </si>
  <si>
    <t>Country</t>
  </si>
  <si>
    <t>Location</t>
  </si>
  <si>
    <t>Director</t>
  </si>
  <si>
    <t>Power</t>
  </si>
  <si>
    <t>IT</t>
  </si>
  <si>
    <t>Priority</t>
  </si>
  <si>
    <t>Vertical</t>
  </si>
  <si>
    <t>Acreage</t>
  </si>
  <si>
    <t>Status</t>
  </si>
  <si>
    <t>Contact</t>
  </si>
  <si>
    <t>Land</t>
  </si>
  <si>
    <t>Dev</t>
  </si>
  <si>
    <t>Total</t>
  </si>
  <si>
    <t>Comp. Value</t>
  </si>
  <si>
    <t>Initial Investment</t>
  </si>
  <si>
    <t>MRC1</t>
  </si>
  <si>
    <t>MRC2</t>
  </si>
  <si>
    <t>MRC3</t>
  </si>
  <si>
    <t>MRC4</t>
  </si>
  <si>
    <t>MRC5</t>
  </si>
  <si>
    <t>MRC6</t>
  </si>
  <si>
    <t>MRC7</t>
  </si>
  <si>
    <t>MRC8</t>
  </si>
  <si>
    <t>MRC9</t>
  </si>
  <si>
    <t>MRC10</t>
  </si>
  <si>
    <t>Terminal</t>
  </si>
  <si>
    <t>IRR (10)</t>
  </si>
  <si>
    <t>Payback (yrs)</t>
  </si>
  <si>
    <t>DAR26</t>
  </si>
  <si>
    <t>KPAX1</t>
  </si>
  <si>
    <t>UK</t>
  </si>
  <si>
    <t>Carlisle Kingmoor Park</t>
  </si>
  <si>
    <t>JCS</t>
  </si>
  <si>
    <t>MW</t>
  </si>
  <si>
    <t>AI</t>
  </si>
  <si>
    <t>6. Design &amp; Procurement</t>
  </si>
  <si>
    <t>Kingmoor Park</t>
  </si>
  <si>
    <t>DAR53</t>
  </si>
  <si>
    <t>POR5</t>
  </si>
  <si>
    <t>Portugal</t>
  </si>
  <si>
    <t>Carnaxide, Novo Banco</t>
  </si>
  <si>
    <t>NMC</t>
  </si>
  <si>
    <t>Colo/AI Hub</t>
  </si>
  <si>
    <t>DC3PO</t>
  </si>
  <si>
    <t>DAR52</t>
  </si>
  <si>
    <t>POR4</t>
  </si>
  <si>
    <t>Torres Vedras</t>
  </si>
  <si>
    <t>Hyperscale</t>
  </si>
  <si>
    <t>4. Under Offer</t>
  </si>
  <si>
    <t>DAR55</t>
  </si>
  <si>
    <t>ITA1</t>
  </si>
  <si>
    <t>Italy</t>
  </si>
  <si>
    <t>Genova</t>
  </si>
  <si>
    <t>3. Deal Development</t>
  </si>
  <si>
    <t>Rooskey</t>
  </si>
  <si>
    <t>DAR51</t>
  </si>
  <si>
    <t>VIL1A</t>
  </si>
  <si>
    <t>Spain</t>
  </si>
  <si>
    <t>Vilanova</t>
  </si>
  <si>
    <t>ASM</t>
  </si>
  <si>
    <t>5. Exclusivity / Option Secured</t>
  </si>
  <si>
    <t>Roberto Saija</t>
  </si>
  <si>
    <t>DAR23</t>
  </si>
  <si>
    <t>PUR1</t>
  </si>
  <si>
    <t>Puerto Rico</t>
  </si>
  <si>
    <t>Arecibo</t>
  </si>
  <si>
    <t>ANC</t>
  </si>
  <si>
    <t>DAR64</t>
  </si>
  <si>
    <t>BER5</t>
  </si>
  <si>
    <t>Germany</t>
  </si>
  <si>
    <t>Zossen</t>
  </si>
  <si>
    <t>DBK</t>
  </si>
  <si>
    <t>DAR70</t>
  </si>
  <si>
    <t>USA3</t>
  </si>
  <si>
    <t>USA</t>
  </si>
  <si>
    <t>Orlando</t>
  </si>
  <si>
    <t>MAM</t>
  </si>
  <si>
    <t>-</t>
  </si>
  <si>
    <t>DAR30</t>
  </si>
  <si>
    <t>BER2</t>
  </si>
  <si>
    <t>Freudenburg, Berlin</t>
  </si>
  <si>
    <t>DDC</t>
  </si>
  <si>
    <t>DAR32</t>
  </si>
  <si>
    <t>BER3</t>
  </si>
  <si>
    <t>Beeskow, Berlin</t>
  </si>
  <si>
    <t>DAR35</t>
  </si>
  <si>
    <t>POR3</t>
  </si>
  <si>
    <t>Covilha, Altice</t>
  </si>
  <si>
    <t>PWP</t>
  </si>
  <si>
    <t>DAR21</t>
  </si>
  <si>
    <t>POR1</t>
  </si>
  <si>
    <t>Porto</t>
  </si>
  <si>
    <t>2. Test Fit / Power</t>
  </si>
  <si>
    <t>DAR29</t>
  </si>
  <si>
    <t>POR2</t>
  </si>
  <si>
    <t>Lisbon</t>
  </si>
  <si>
    <t>Athena</t>
  </si>
  <si>
    <t>DAR34</t>
  </si>
  <si>
    <t>NI1</t>
  </si>
  <si>
    <t>Northern Ireland</t>
  </si>
  <si>
    <t>1a. Site Reviewed</t>
  </si>
  <si>
    <t>Mark Payne</t>
  </si>
  <si>
    <t>DAR39</t>
  </si>
  <si>
    <t>ENG03</t>
  </si>
  <si>
    <t>Doncaster</t>
  </si>
  <si>
    <t>DAR40</t>
  </si>
  <si>
    <t>ENG04</t>
  </si>
  <si>
    <t>Welwyn Garden City</t>
  </si>
  <si>
    <t>Capitaland</t>
  </si>
  <si>
    <t>DAR47</t>
  </si>
  <si>
    <t>ENG07</t>
  </si>
  <si>
    <t>Swindon</t>
  </si>
  <si>
    <t>BHP</t>
  </si>
  <si>
    <t>DAR48</t>
  </si>
  <si>
    <t>ENG08</t>
  </si>
  <si>
    <t>Bexley</t>
  </si>
  <si>
    <t>DAR49</t>
  </si>
  <si>
    <t>ENG09</t>
  </si>
  <si>
    <t>Croydon</t>
  </si>
  <si>
    <t>DAR50</t>
  </si>
  <si>
    <t>ENG10</t>
  </si>
  <si>
    <t>Slough</t>
  </si>
  <si>
    <t>DAR25</t>
  </si>
  <si>
    <t>ENG01</t>
  </si>
  <si>
    <t>Luton</t>
  </si>
  <si>
    <t>1. Site Identified</t>
  </si>
  <si>
    <t>DAR42</t>
  </si>
  <si>
    <t>SCO1</t>
  </si>
  <si>
    <t>Scotland</t>
  </si>
  <si>
    <t>WP</t>
  </si>
  <si>
    <t>DAR43</t>
  </si>
  <si>
    <t>SCO2</t>
  </si>
  <si>
    <t>DAR44</t>
  </si>
  <si>
    <t>WAL1</t>
  </si>
  <si>
    <t>Port Talbot</t>
  </si>
  <si>
    <t>DAR45</t>
  </si>
  <si>
    <t>ENG05</t>
  </si>
  <si>
    <t>Nottingham</t>
  </si>
  <si>
    <t>DAR46</t>
  </si>
  <si>
    <t>ENG06</t>
  </si>
  <si>
    <t>Goldthorpe</t>
  </si>
  <si>
    <t>DAR54</t>
  </si>
  <si>
    <t>ENG11</t>
  </si>
  <si>
    <t>DAR56</t>
  </si>
  <si>
    <t>WAL2</t>
  </si>
  <si>
    <t>Hollyhead</t>
  </si>
  <si>
    <t>DAR22</t>
  </si>
  <si>
    <t>CZE1</t>
  </si>
  <si>
    <t>Czechia</t>
  </si>
  <si>
    <t>Prunerov</t>
  </si>
  <si>
    <t>0. Archived</t>
  </si>
  <si>
    <t>DAR24</t>
  </si>
  <si>
    <t>USA1</t>
  </si>
  <si>
    <t>Calexico</t>
  </si>
  <si>
    <t>DAR27</t>
  </si>
  <si>
    <t>USA2</t>
  </si>
  <si>
    <t>Philadelphia</t>
  </si>
  <si>
    <t>DAR28</t>
  </si>
  <si>
    <t>BER1</t>
  </si>
  <si>
    <t>Eberswalde, Berlin</t>
  </si>
  <si>
    <t>DAR31</t>
  </si>
  <si>
    <t>CZE2</t>
  </si>
  <si>
    <t>Prague</t>
  </si>
  <si>
    <t>DAR33</t>
  </si>
  <si>
    <t>CZE3</t>
  </si>
  <si>
    <t>Usti nad Labem</t>
  </si>
  <si>
    <t>DAR36</t>
  </si>
  <si>
    <t>FFT1</t>
  </si>
  <si>
    <t>Frankfurt</t>
  </si>
  <si>
    <t>DAR37</t>
  </si>
  <si>
    <t>GRE1</t>
  </si>
  <si>
    <t>Greece</t>
  </si>
  <si>
    <t>Athens</t>
  </si>
  <si>
    <t>DAR38</t>
  </si>
  <si>
    <t>ENG02</t>
  </si>
  <si>
    <t>London</t>
  </si>
  <si>
    <t>DAR41</t>
  </si>
  <si>
    <t>NED1</t>
  </si>
  <si>
    <t>Netherlands</t>
  </si>
  <si>
    <t>The Hague</t>
  </si>
  <si>
    <t>DAR57</t>
  </si>
  <si>
    <t>ENG12</t>
  </si>
  <si>
    <t>Bicester</t>
  </si>
  <si>
    <t>DAR58</t>
  </si>
  <si>
    <t>ENG13</t>
  </si>
  <si>
    <t>Manston</t>
  </si>
  <si>
    <t>DAR59</t>
  </si>
  <si>
    <t>ENG14</t>
  </si>
  <si>
    <t>Tyne Tunnel TE</t>
  </si>
  <si>
    <t>DAR60</t>
  </si>
  <si>
    <t>ENG15</t>
  </si>
  <si>
    <t>New Stanton Park</t>
  </si>
  <si>
    <t>DAR61</t>
  </si>
  <si>
    <t>ENG16</t>
  </si>
  <si>
    <t>Yaxley</t>
  </si>
  <si>
    <t>DAR62</t>
  </si>
  <si>
    <t>ENG17</t>
  </si>
  <si>
    <t>Sittingbourne</t>
  </si>
  <si>
    <t>DAR63</t>
  </si>
  <si>
    <t>BER4</t>
  </si>
  <si>
    <t>Berlin</t>
  </si>
  <si>
    <t>Blue Star</t>
  </si>
  <si>
    <t>DAR65</t>
  </si>
  <si>
    <t>ITA2</t>
  </si>
  <si>
    <t>Milan</t>
  </si>
  <si>
    <t>DAR66</t>
  </si>
  <si>
    <t>ITA3</t>
  </si>
  <si>
    <t>DAR67</t>
  </si>
  <si>
    <t>ITA4</t>
  </si>
  <si>
    <t>DAR68</t>
  </si>
  <si>
    <t>AUS1</t>
  </si>
  <si>
    <t>Austria</t>
  </si>
  <si>
    <t>Vienna</t>
  </si>
  <si>
    <t>DAR69</t>
  </si>
  <si>
    <t>ENG18</t>
  </si>
  <si>
    <t>Leatherhead</t>
  </si>
  <si>
    <t>Knight Young</t>
  </si>
  <si>
    <t>DAR71</t>
  </si>
  <si>
    <t>DAR72</t>
  </si>
  <si>
    <t>DAR73</t>
  </si>
  <si>
    <t>DAR74</t>
  </si>
  <si>
    <t>Gross Power</t>
  </si>
  <si>
    <t>IT Load</t>
  </si>
  <si>
    <t>Market Cost to Build</t>
  </si>
  <si>
    <t>€/MW</t>
  </si>
  <si>
    <t>Development Cost (a)</t>
  </si>
  <si>
    <t>Target Cost to Build</t>
  </si>
  <si>
    <t>Development Cost (b)</t>
  </si>
  <si>
    <t>Months</t>
  </si>
  <si>
    <t>Additional Land</t>
  </si>
  <si>
    <t>Grid Connection</t>
  </si>
  <si>
    <t>Pre-Construction</t>
  </si>
  <si>
    <t>Development Fees</t>
  </si>
  <si>
    <t>Licencing Fees</t>
  </si>
  <si>
    <t>Stamp Duty &amp; Fees (10%)</t>
  </si>
  <si>
    <t>Total 1-6</t>
  </si>
  <si>
    <t>Repairs</t>
  </si>
  <si>
    <t>GPUs</t>
  </si>
  <si>
    <t>MRC per month</t>
  </si>
  <si>
    <t>€/kW/month</t>
  </si>
  <si>
    <t>MRC per annum</t>
  </si>
  <si>
    <t>€/MW/Annum</t>
  </si>
  <si>
    <t>MRC Indexing</t>
  </si>
  <si>
    <t>NRC year 1</t>
  </si>
  <si>
    <t>Standard Opex</t>
  </si>
  <si>
    <t>Including loan premium repayment</t>
  </si>
  <si>
    <t>Total MRC + NRC</t>
  </si>
  <si>
    <t>Costs</t>
  </si>
  <si>
    <t>NOI</t>
  </si>
  <si>
    <t>Total NOI (15)</t>
  </si>
  <si>
    <t>Existing NOI (excluding year 0)</t>
  </si>
  <si>
    <t>Total NOI</t>
  </si>
  <si>
    <t>Total Revenue</t>
  </si>
  <si>
    <t>Mobilisation</t>
  </si>
  <si>
    <t>Build</t>
  </si>
  <si>
    <t>Handover</t>
  </si>
  <si>
    <t>FA</t>
  </si>
  <si>
    <t>MGD</t>
  </si>
  <si>
    <t>Check</t>
  </si>
  <si>
    <t>MODEL</t>
  </si>
  <si>
    <t>MODEL (€)</t>
  </si>
  <si>
    <t>REVISED</t>
  </si>
  <si>
    <t>CONSTRUCTION</t>
  </si>
  <si>
    <t>Architectural</t>
  </si>
  <si>
    <t>Civil and Structural</t>
  </si>
  <si>
    <t>Substations</t>
  </si>
  <si>
    <t>Underground utilities</t>
  </si>
  <si>
    <t>Crusader Modules (Incl surveys and design)</t>
  </si>
  <si>
    <t>Bess (Incl surveys and design)</t>
  </si>
  <si>
    <t>Main Contractor installation</t>
  </si>
  <si>
    <t>Photo Voltaic system</t>
  </si>
  <si>
    <t>Landscaping</t>
  </si>
  <si>
    <t>Preliminaries - General</t>
  </si>
  <si>
    <t>Main Contractor Margin</t>
  </si>
  <si>
    <t>Connection</t>
  </si>
  <si>
    <t>Operations Team</t>
  </si>
  <si>
    <t>OS&amp;E</t>
  </si>
  <si>
    <t>Marketing</t>
  </si>
  <si>
    <t>DM Fee</t>
  </si>
  <si>
    <t>DARK Management Fee (3%)</t>
  </si>
  <si>
    <t>Contingency on all cost (10%)</t>
  </si>
  <si>
    <t>Operations</t>
  </si>
  <si>
    <t>Contingency</t>
  </si>
  <si>
    <t>incl</t>
  </si>
  <si>
    <t>Cumulative Costs</t>
  </si>
  <si>
    <t>Adjusted::</t>
  </si>
  <si>
    <t>Additional Costs</t>
  </si>
  <si>
    <t>Rate</t>
  </si>
  <si>
    <t>Initial Period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</si>
  <si>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</si>
  <si>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</si>
  <si>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</si>
  <si>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</si>
  <si>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</si>
  <si>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</si>
  <si>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</si>
  <si>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</si>
  <si>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</si>
  <si>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</si>
  <si>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</si>
  <si>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</si>
  <si>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</si>
  <si>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</si>
  <si>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</si>
  <si>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Revenue</t>
  </si>
  <si>
    <t>EBITDA</t>
  </si>
  <si>
    <t>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</si>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</sst>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&quot; &quot;yy"/>
    <numFmt numFmtId="165" formatCode="[$$]#,##0"/>
    <numFmt numFmtId="166" formatCode="0.0%"/>
    <numFmt numFmtId="167" formatCode="#,##0.0"/>
    <numFmt numFmtId="168" formatCode="0.0"/>
    <numFmt numFmtId="169" formatCode="[$€]#,##0"/>
    <numFmt numFmtId="170" formatCode="d-m"/>
    <numFmt numFmtId="171" formatCode="[$€]#,##0.00"/>
    <numFmt numFmtId="172" formatCode="#,##0.00;(#,##0.00)"/>
  </numFmts>
  <fonts count="16">
    <font>
      <sz val="10.0"/>
      <color rgb="FF000000"/>
      <name val="Arial"/>
      <scheme val="minor"/>
    </font>
    <font>
      <color theme="1"/>
      <name val="Arial"/>
    </font>
    <font>
      <b/>
      <color rgb="FFFFFFFF"/>
      <name val="Lato"/>
    </font>
    <font>
      <color rgb="FFFFFFFF"/>
      <name val="Arial"/>
    </font>
    <font>
      <b/>
      <color rgb="FFFFFF00"/>
      <name val="Lato"/>
    </font>
    <font>
      <b/>
      <color rgb="FFFFFF00"/>
      <name val="Arial"/>
    </font>
    <font>
      <color rgb="FFFFFFFF"/>
      <name val="Lato"/>
    </font>
    <font>
      <b/>
      <color rgb="FF000000"/>
      <name val="Lato"/>
    </font>
    <font>
      <color theme="1"/>
      <name val="Lato"/>
    </font>
    <font>
      <color rgb="FF00FFFF"/>
      <name val="Lato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Lato"/>
    </font>
    <font>
      <sz val="11.0"/>
      <color rgb="FF000000"/>
      <name val="Lato"/>
    </font>
    <font/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2" fontId="1" numFmtId="3" xfId="0" applyAlignment="1" applyFont="1" applyNumberFormat="1">
      <alignment vertical="bottom"/>
    </xf>
    <xf borderId="1" fillId="2" fontId="1" numFmtId="164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vertical="bottom"/>
    </xf>
    <xf borderId="0" fillId="2" fontId="2" numFmtId="165" xfId="0" applyAlignment="1" applyFont="1" applyNumberFormat="1">
      <alignment horizontal="right"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1" numFmtId="165" xfId="0" applyAlignment="1" applyFont="1" applyNumberFormat="1">
      <alignment vertical="bottom"/>
    </xf>
    <xf borderId="0" fillId="2" fontId="2" numFmtId="165" xfId="0" applyAlignment="1" applyFont="1" applyNumberFormat="1">
      <alignment horizontal="center" vertical="bottom"/>
    </xf>
    <xf borderId="0" fillId="2" fontId="2" numFmtId="9" xfId="0" applyAlignment="1" applyFont="1" applyNumberFormat="1">
      <alignment horizontal="right" vertical="bottom"/>
    </xf>
    <xf borderId="0" fillId="2" fontId="3" numFmtId="9" xfId="0" applyAlignment="1" applyFont="1" applyNumberFormat="1">
      <alignment vertical="bottom"/>
    </xf>
    <xf borderId="3" fillId="2" fontId="1" numFmtId="164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2" fontId="1" numFmtId="2" xfId="0" applyAlignment="1" applyBorder="1" applyFont="1" applyNumberFormat="1">
      <alignment vertical="bottom"/>
    </xf>
    <xf borderId="4" fillId="2" fontId="2" numFmtId="2" xfId="0" applyAlignment="1" applyBorder="1" applyFont="1" applyNumberFormat="1">
      <alignment horizontal="center" vertical="bottom"/>
    </xf>
    <xf borderId="0" fillId="2" fontId="2" numFmtId="0" xfId="0" applyAlignment="1" applyFont="1">
      <alignment horizontal="right" shrinkToFit="0" vertical="bottom" wrapText="1"/>
    </xf>
    <xf borderId="0" fillId="2" fontId="2" numFmtId="9" xfId="0" applyAlignment="1" applyFont="1" applyNumberFormat="1">
      <alignment horizontal="right" shrinkToFit="0" vertical="bottom" wrapText="1"/>
    </xf>
    <xf borderId="0" fillId="2" fontId="1" numFmtId="0" xfId="0" applyFont="1"/>
    <xf borderId="5" fillId="2" fontId="4" numFmtId="0" xfId="0" applyBorder="1" applyFont="1"/>
    <xf borderId="5" fillId="2" fontId="4" numFmtId="0" xfId="0" applyAlignment="1" applyBorder="1" applyFont="1">
      <alignment shrinkToFit="0" wrapText="1"/>
    </xf>
    <xf borderId="5" fillId="2" fontId="4" numFmtId="0" xfId="0" applyBorder="1" applyFont="1"/>
    <xf borderId="5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readingOrder="0"/>
    </xf>
    <xf borderId="6" fillId="2" fontId="1" numFmtId="0" xfId="0" applyBorder="1" applyFont="1"/>
    <xf borderId="6" fillId="2" fontId="5" numFmtId="0" xfId="0" applyBorder="1" applyFont="1"/>
    <xf borderId="6" fillId="2" fontId="4" numFmtId="0" xfId="0" applyAlignment="1" applyBorder="1" applyFont="1">
      <alignment horizontal="center" shrinkToFit="0" wrapText="1"/>
    </xf>
    <xf borderId="7" fillId="2" fontId="4" numFmtId="0" xfId="0" applyAlignment="1" applyBorder="1" applyFont="1">
      <alignment horizontal="center" shrinkToFit="0" wrapText="1"/>
    </xf>
    <xf borderId="8" fillId="2" fontId="4" numFmtId="0" xfId="0" applyAlignment="1" applyBorder="1" applyFont="1">
      <alignment horizontal="center" shrinkToFit="0" wrapText="1"/>
    </xf>
    <xf borderId="8" fillId="2" fontId="1" numFmtId="0" xfId="0" applyBorder="1" applyFont="1"/>
    <xf borderId="6" fillId="2" fontId="1" numFmtId="0" xfId="0" applyBorder="1" applyFont="1"/>
    <xf borderId="0" fillId="2" fontId="6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2" fontId="6" numFmtId="0" xfId="0" applyAlignment="1" applyFon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right"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0" fillId="2" fontId="8" numFmtId="165" xfId="0" applyAlignment="1" applyFont="1" applyNumberFormat="1">
      <alignment vertical="bottom"/>
    </xf>
    <xf borderId="9" fillId="2" fontId="6" numFmtId="165" xfId="0" applyAlignment="1" applyBorder="1" applyFont="1" applyNumberFormat="1">
      <alignment vertical="bottom"/>
    </xf>
    <xf borderId="10" fillId="2" fontId="6" numFmtId="165" xfId="0" applyAlignment="1" applyBorder="1" applyFont="1" applyNumberFormat="1">
      <alignment horizontal="right" vertical="bottom"/>
    </xf>
    <xf borderId="0" fillId="2" fontId="6" numFmtId="165" xfId="0" applyAlignment="1" applyFont="1" applyNumberFormat="1">
      <alignment horizontal="right" vertical="bottom"/>
    </xf>
    <xf borderId="0" fillId="2" fontId="6" numFmtId="166" xfId="0" applyAlignment="1" applyFont="1" applyNumberFormat="1">
      <alignment horizontal="right" vertical="bottom"/>
    </xf>
    <xf borderId="0" fillId="2" fontId="6" numFmtId="167" xfId="0" applyAlignment="1" applyFont="1" applyNumberFormat="1">
      <alignment horizontal="center" vertical="bottom"/>
    </xf>
    <xf borderId="11" fillId="2" fontId="1" numFmtId="164" xfId="0" applyAlignment="1" applyBorder="1" applyFont="1" applyNumberFormat="1">
      <alignment vertical="bottom"/>
    </xf>
    <xf borderId="0" fillId="2" fontId="6" numFmtId="167" xfId="0" applyAlignment="1" applyFont="1" applyNumberFormat="1">
      <alignment horizontal="center" readingOrder="0" vertical="bottom"/>
    </xf>
    <xf borderId="9" fillId="2" fontId="6" numFmtId="3" xfId="0" applyAlignment="1" applyBorder="1" applyFont="1" applyNumberFormat="1">
      <alignment vertical="bottom"/>
    </xf>
    <xf borderId="0" fillId="2" fontId="6" numFmtId="0" xfId="0" applyAlignment="1" applyFont="1">
      <alignment vertical="bottom"/>
    </xf>
    <xf borderId="0" fillId="2" fontId="1" numFmtId="1" xfId="0" applyAlignment="1" applyFont="1" applyNumberFormat="1">
      <alignment vertical="bottom"/>
    </xf>
    <xf borderId="0" fillId="2" fontId="2" numFmtId="0" xfId="0" applyAlignment="1" applyFont="1">
      <alignment vertical="bottom"/>
    </xf>
    <xf borderId="10" fillId="2" fontId="1" numFmtId="165" xfId="0" applyAlignment="1" applyBorder="1" applyFont="1" applyNumberFormat="1">
      <alignment vertical="bottom"/>
    </xf>
    <xf borderId="0" fillId="2" fontId="1" numFmtId="166" xfId="0" applyAlignment="1" applyFont="1" applyNumberFormat="1">
      <alignment vertical="bottom"/>
    </xf>
    <xf borderId="0" fillId="2" fontId="1" numFmtId="167" xfId="0" applyAlignment="1" applyFont="1" applyNumberFormat="1">
      <alignment vertical="bottom"/>
    </xf>
    <xf borderId="0" fillId="2" fontId="9" numFmtId="3" xfId="0" applyAlignment="1" applyFont="1" applyNumberFormat="1">
      <alignment horizontal="center" vertical="bottom"/>
    </xf>
    <xf borderId="0" fillId="2" fontId="6" numFmtId="3" xfId="0" applyAlignment="1" applyFont="1" applyNumberFormat="1">
      <alignment vertical="bottom"/>
    </xf>
    <xf borderId="10" fillId="2" fontId="1" numFmtId="3" xfId="0" applyAlignment="1" applyBorder="1" applyFont="1" applyNumberFormat="1">
      <alignment vertical="bottom"/>
    </xf>
    <xf borderId="0" fillId="2" fontId="6" numFmtId="165" xfId="0" applyAlignment="1" applyFont="1" applyNumberFormat="1">
      <alignment vertical="bottom"/>
    </xf>
    <xf borderId="0" fillId="2" fontId="1" numFmtId="168" xfId="0" applyAlignment="1" applyFont="1" applyNumberFormat="1">
      <alignment vertical="bottom"/>
    </xf>
    <xf borderId="0" fillId="2" fontId="6" numFmtId="168" xfId="0" applyAlignment="1" applyFont="1" applyNumberFormat="1">
      <alignment horizontal="center" vertical="bottom"/>
    </xf>
    <xf borderId="12" fillId="2" fontId="1" numFmtId="168" xfId="0" applyAlignment="1" applyBorder="1" applyFont="1" applyNumberFormat="1">
      <alignment vertical="bottom"/>
    </xf>
    <xf borderId="0" fillId="2" fontId="1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4" fontId="11" numFmtId="0" xfId="0" applyAlignment="1" applyFill="1" applyFont="1">
      <alignment readingOrder="0"/>
    </xf>
    <xf borderId="0" fillId="0" fontId="11" numFmtId="169" xfId="0" applyAlignment="1" applyFont="1" applyNumberFormat="1">
      <alignment readingOrder="0"/>
    </xf>
    <xf borderId="0" fillId="0" fontId="11" numFmtId="169" xfId="0" applyFont="1" applyNumberFormat="1"/>
    <xf borderId="0" fillId="0" fontId="11" numFmtId="2" xfId="0" applyAlignment="1" applyFont="1" applyNumberFormat="1">
      <alignment readingOrder="0"/>
    </xf>
    <xf borderId="0" fillId="4" fontId="11" numFmtId="169" xfId="0" applyAlignment="1" applyFont="1" applyNumberFormat="1">
      <alignment readingOrder="0"/>
    </xf>
    <xf borderId="0" fillId="0" fontId="11" numFmtId="170" xfId="0" applyAlignment="1" applyFont="1" applyNumberFormat="1">
      <alignment readingOrder="0"/>
    </xf>
    <xf borderId="0" fillId="4" fontId="11" numFmtId="171" xfId="0" applyAlignment="1" applyFont="1" applyNumberFormat="1">
      <alignment readingOrder="0"/>
    </xf>
    <xf borderId="0" fillId="4" fontId="11" numFmtId="10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169" xfId="0" applyFont="1" applyNumberFormat="1"/>
    <xf borderId="0" fillId="0" fontId="13" numFmtId="0" xfId="0" applyAlignment="1" applyFont="1">
      <alignment vertical="bottom"/>
    </xf>
    <xf borderId="0" fillId="0" fontId="14" numFmtId="164" xfId="0" applyAlignment="1" applyFont="1" applyNumberFormat="1">
      <alignment horizontal="center" vertical="bottom"/>
    </xf>
    <xf borderId="0" fillId="0" fontId="13" numFmtId="164" xfId="0" applyAlignment="1" applyFont="1" applyNumberFormat="1">
      <alignment vertical="bottom"/>
    </xf>
    <xf borderId="0" fillId="0" fontId="14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2" xfId="0" applyAlignment="1" applyFont="1" applyNumberFormat="1">
      <alignment horizontal="right" vertical="bottom"/>
    </xf>
    <xf borderId="0" fillId="0" fontId="8" numFmtId="0" xfId="0" applyFont="1"/>
    <xf borderId="0" fillId="0" fontId="13" numFmtId="165" xfId="0" applyAlignment="1" applyFont="1" applyNumberFormat="1">
      <alignment vertical="bottom"/>
    </xf>
    <xf borderId="13" fillId="5" fontId="7" numFmtId="0" xfId="0" applyAlignment="1" applyBorder="1" applyFill="1" applyFont="1">
      <alignment horizontal="center" vertical="bottom"/>
    </xf>
    <xf borderId="14" fillId="0" fontId="15" numFmtId="0" xfId="0" applyBorder="1" applyFont="1"/>
    <xf borderId="15" fillId="0" fontId="15" numFmtId="0" xfId="0" applyBorder="1" applyFont="1"/>
    <xf borderId="13" fillId="6" fontId="7" numFmtId="0" xfId="0" applyAlignment="1" applyBorder="1" applyFill="1" applyFont="1">
      <alignment horizontal="center" vertical="bottom"/>
    </xf>
    <xf borderId="13" fillId="7" fontId="7" numFmtId="0" xfId="0" applyAlignment="1" applyBorder="1" applyFill="1" applyFont="1">
      <alignment horizontal="center" vertical="bottom"/>
    </xf>
    <xf borderId="16" fillId="8" fontId="7" numFmtId="0" xfId="0" applyAlignment="1" applyBorder="1" applyFill="1" applyFont="1">
      <alignment horizontal="center" vertical="bottom"/>
    </xf>
    <xf borderId="13" fillId="0" fontId="13" numFmtId="0" xfId="0" applyAlignment="1" applyBorder="1" applyFont="1">
      <alignment vertical="bottom"/>
    </xf>
    <xf borderId="16" fillId="0" fontId="7" numFmtId="0" xfId="0" applyAlignment="1" applyBorder="1" applyFont="1">
      <alignment horizontal="center" vertical="bottom"/>
    </xf>
    <xf borderId="17" fillId="0" fontId="13" numFmtId="0" xfId="0" applyAlignment="1" applyBorder="1" applyFont="1">
      <alignment vertical="bottom"/>
    </xf>
    <xf borderId="18" fillId="0" fontId="13" numFmtId="0" xfId="0" applyAlignment="1" applyBorder="1" applyFont="1">
      <alignment vertical="bottom"/>
    </xf>
    <xf borderId="19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vertical="bottom"/>
    </xf>
    <xf borderId="21" fillId="0" fontId="13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22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center" vertical="bottom"/>
    </xf>
    <xf borderId="23" fillId="0" fontId="13" numFmtId="0" xfId="0" applyAlignment="1" applyBorder="1" applyFont="1">
      <alignment horizontal="center" vertical="bottom"/>
    </xf>
    <xf borderId="24" fillId="0" fontId="13" numFmtId="0" xfId="0" applyAlignment="1" applyBorder="1" applyFont="1">
      <alignment horizontal="center" vertical="bottom"/>
    </xf>
    <xf borderId="25" fillId="0" fontId="13" numFmtId="0" xfId="0" applyAlignment="1" applyBorder="1" applyFont="1">
      <alignment horizontal="center" vertical="bottom"/>
    </xf>
    <xf borderId="26" fillId="0" fontId="13" numFmtId="0" xfId="0" applyAlignment="1" applyBorder="1" applyFont="1">
      <alignment horizontal="center" vertical="bottom"/>
    </xf>
    <xf borderId="27" fillId="0" fontId="13" numFmtId="0" xfId="0" applyAlignment="1" applyBorder="1" applyFont="1">
      <alignment horizontal="center" vertical="bottom"/>
    </xf>
    <xf borderId="28" fillId="0" fontId="13" numFmtId="0" xfId="0" applyAlignment="1" applyBorder="1" applyFont="1">
      <alignment horizontal="center" vertical="bottom"/>
    </xf>
    <xf borderId="29" fillId="0" fontId="13" numFmtId="0" xfId="0" applyAlignment="1" applyBorder="1" applyFont="1">
      <alignment vertical="bottom"/>
    </xf>
    <xf borderId="0" fillId="0" fontId="13" numFmtId="165" xfId="0" applyAlignment="1" applyFont="1" applyNumberFormat="1">
      <alignment horizontal="right" vertical="bottom"/>
    </xf>
    <xf borderId="0" fillId="0" fontId="13" numFmtId="169" xfId="0" applyAlignment="1" applyFont="1" applyNumberFormat="1">
      <alignment horizontal="right" vertical="bottom"/>
    </xf>
    <xf borderId="30" fillId="0" fontId="13" numFmtId="169" xfId="0" applyAlignment="1" applyBorder="1" applyFont="1" applyNumberFormat="1">
      <alignment vertical="bottom"/>
    </xf>
    <xf borderId="31" fillId="0" fontId="13" numFmtId="169" xfId="0" applyAlignment="1" applyBorder="1" applyFont="1" applyNumberFormat="1">
      <alignment vertical="bottom"/>
    </xf>
    <xf borderId="32" fillId="0" fontId="13" numFmtId="169" xfId="0" applyAlignment="1" applyBorder="1" applyFont="1" applyNumberFormat="1">
      <alignment vertical="bottom"/>
    </xf>
    <xf borderId="19" fillId="0" fontId="13" numFmtId="169" xfId="0" applyAlignment="1" applyBorder="1" applyFont="1" applyNumberFormat="1">
      <alignment vertical="bottom"/>
    </xf>
    <xf borderId="1" fillId="0" fontId="13" numFmtId="169" xfId="0" applyAlignment="1" applyBorder="1" applyFont="1" applyNumberFormat="1">
      <alignment vertical="bottom"/>
    </xf>
    <xf borderId="20" fillId="0" fontId="13" numFmtId="169" xfId="0" applyAlignment="1" applyBorder="1" applyFont="1" applyNumberFormat="1">
      <alignment vertical="bottom"/>
    </xf>
    <xf borderId="1" fillId="0" fontId="13" numFmtId="169" xfId="0" applyAlignment="1" applyBorder="1" applyFont="1" applyNumberFormat="1">
      <alignment horizontal="right" vertical="bottom"/>
    </xf>
    <xf borderId="20" fillId="0" fontId="13" numFmtId="169" xfId="0" applyAlignment="1" applyBorder="1" applyFont="1" applyNumberFormat="1">
      <alignment horizontal="right" vertical="bottom"/>
    </xf>
    <xf borderId="33" fillId="0" fontId="13" numFmtId="169" xfId="0" applyAlignment="1" applyBorder="1" applyFont="1" applyNumberFormat="1">
      <alignment horizontal="right" vertical="bottom"/>
    </xf>
    <xf borderId="34" fillId="0" fontId="13" numFmtId="169" xfId="0" applyAlignment="1" applyBorder="1" applyFont="1" applyNumberFormat="1">
      <alignment vertical="bottom"/>
    </xf>
    <xf borderId="0" fillId="0" fontId="13" numFmtId="172" xfId="0" applyAlignment="1" applyFont="1" applyNumberFormat="1">
      <alignment vertical="bottom"/>
    </xf>
    <xf borderId="19" fillId="0" fontId="13" numFmtId="169" xfId="0" applyAlignment="1" applyBorder="1" applyFont="1" applyNumberFormat="1">
      <alignment horizontal="right" vertical="bottom"/>
    </xf>
    <xf borderId="33" fillId="0" fontId="13" numFmtId="169" xfId="0" applyAlignment="1" applyBorder="1" applyFont="1" applyNumberFormat="1">
      <alignment vertical="bottom"/>
    </xf>
    <xf borderId="0" fillId="0" fontId="13" numFmtId="165" xfId="0" applyAlignment="1" applyFont="1" applyNumberFormat="1">
      <alignment horizontal="right" readingOrder="0" vertical="bottom"/>
    </xf>
    <xf borderId="0" fillId="0" fontId="13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vertical="bottom"/>
    </xf>
    <xf borderId="35" fillId="0" fontId="13" numFmtId="169" xfId="0" applyAlignment="1" applyBorder="1" applyFont="1" applyNumberFormat="1">
      <alignment horizontal="right" vertical="bottom"/>
    </xf>
    <xf borderId="36" fillId="0" fontId="13" numFmtId="169" xfId="0" applyAlignment="1" applyBorder="1" applyFont="1" applyNumberFormat="1">
      <alignment horizontal="right" vertical="bottom"/>
    </xf>
    <xf borderId="37" fillId="0" fontId="13" numFmtId="169" xfId="0" applyAlignment="1" applyBorder="1" applyFont="1" applyNumberFormat="1">
      <alignment horizontal="right" vertical="bottom"/>
    </xf>
    <xf borderId="38" fillId="0" fontId="13" numFmtId="169" xfId="0" applyAlignment="1" applyBorder="1" applyFont="1" applyNumberFormat="1">
      <alignment horizontal="right" vertical="bottom"/>
    </xf>
    <xf borderId="0" fillId="0" fontId="13" numFmtId="169" xfId="0" applyAlignment="1" applyFont="1" applyNumberFormat="1">
      <alignment vertical="bottom"/>
    </xf>
    <xf borderId="0" fillId="0" fontId="13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30" fillId="0" fontId="13" numFmtId="165" xfId="0" applyAlignment="1" applyBorder="1" applyFont="1" applyNumberFormat="1">
      <alignment vertical="bottom"/>
    </xf>
    <xf borderId="31" fillId="0" fontId="13" numFmtId="165" xfId="0" applyAlignment="1" applyBorder="1" applyFont="1" applyNumberFormat="1">
      <alignment vertical="bottom"/>
    </xf>
    <xf borderId="32" fillId="0" fontId="13" numFmtId="165" xfId="0" applyAlignment="1" applyBorder="1" applyFont="1" applyNumberFormat="1">
      <alignment vertical="bottom"/>
    </xf>
    <xf borderId="31" fillId="0" fontId="13" numFmtId="165" xfId="0" applyAlignment="1" applyBorder="1" applyFont="1" applyNumberFormat="1">
      <alignment horizontal="right" vertical="bottom"/>
    </xf>
    <xf borderId="32" fillId="0" fontId="13" numFmtId="165" xfId="0" applyAlignment="1" applyBorder="1" applyFont="1" applyNumberFormat="1">
      <alignment horizontal="right" vertical="bottom"/>
    </xf>
    <xf borderId="16" fillId="0" fontId="13" numFmtId="165" xfId="0" applyAlignment="1" applyBorder="1" applyFont="1" applyNumberFormat="1">
      <alignment horizontal="right" vertical="bottom"/>
    </xf>
    <xf borderId="14" fillId="0" fontId="13" numFmtId="165" xfId="0" applyAlignment="1" applyBorder="1" applyFont="1" applyNumberFormat="1">
      <alignment vertical="bottom"/>
    </xf>
    <xf borderId="19" fillId="0" fontId="13" numFmtId="165" xfId="0" applyAlignment="1" applyBorder="1" applyFont="1" applyNumberFormat="1">
      <alignment vertical="bottom"/>
    </xf>
    <xf borderId="1" fillId="0" fontId="13" numFmtId="165" xfId="0" applyAlignment="1" applyBorder="1" applyFont="1" applyNumberFormat="1">
      <alignment vertical="bottom"/>
    </xf>
    <xf borderId="20" fillId="0" fontId="13" numFmtId="165" xfId="0" applyAlignment="1" applyBorder="1" applyFont="1" applyNumberFormat="1">
      <alignment vertical="bottom"/>
    </xf>
    <xf borderId="19" fillId="0" fontId="13" numFmtId="165" xfId="0" applyAlignment="1" applyBorder="1" applyFont="1" applyNumberFormat="1">
      <alignment horizontal="right" vertical="bottom"/>
    </xf>
    <xf borderId="1" fillId="0" fontId="13" numFmtId="165" xfId="0" applyAlignment="1" applyBorder="1" applyFont="1" applyNumberFormat="1">
      <alignment horizontal="right" vertical="bottom"/>
    </xf>
    <xf borderId="20" fillId="0" fontId="13" numFmtId="165" xfId="0" applyAlignment="1" applyBorder="1" applyFont="1" applyNumberFormat="1">
      <alignment horizontal="right" vertical="bottom"/>
    </xf>
    <xf borderId="33" fillId="0" fontId="13" numFmtId="165" xfId="0" applyAlignment="1" applyBorder="1" applyFont="1" applyNumberFormat="1">
      <alignment horizontal="right" vertical="bottom"/>
    </xf>
    <xf borderId="34" fillId="0" fontId="13" numFmtId="165" xfId="0" applyAlignment="1" applyBorder="1" applyFont="1" applyNumberFormat="1">
      <alignment vertical="bottom"/>
    </xf>
    <xf borderId="33" fillId="0" fontId="13" numFmtId="165" xfId="0" applyAlignment="1" applyBorder="1" applyFont="1" applyNumberFormat="1">
      <alignment vertical="bottom"/>
    </xf>
    <xf borderId="0" fillId="6" fontId="13" numFmtId="165" xfId="0" applyAlignment="1" applyFont="1" applyNumberFormat="1">
      <alignment horizontal="right" vertical="bottom"/>
    </xf>
    <xf borderId="35" fillId="0" fontId="7" numFmtId="165" xfId="0" applyAlignment="1" applyBorder="1" applyFont="1" applyNumberFormat="1">
      <alignment horizontal="right" vertical="bottom"/>
    </xf>
    <xf borderId="36" fillId="0" fontId="7" numFmtId="165" xfId="0" applyAlignment="1" applyBorder="1" applyFont="1" applyNumberFormat="1">
      <alignment horizontal="right" vertical="bottom"/>
    </xf>
    <xf borderId="37" fillId="0" fontId="7" numFmtId="165" xfId="0" applyAlignment="1" applyBorder="1" applyFont="1" applyNumberFormat="1">
      <alignment horizontal="right" vertical="bottom"/>
    </xf>
    <xf borderId="38" fillId="0" fontId="7" numFmtId="165" xfId="0" applyAlignment="1" applyBorder="1" applyFont="1" applyNumberFormat="1">
      <alignment horizontal="right" vertical="bottom"/>
    </xf>
    <xf borderId="39" fillId="0" fontId="7" numFmtId="165" xfId="0" applyAlignment="1" applyBorder="1" applyFont="1" applyNumberFormat="1">
      <alignment vertical="bottom"/>
    </xf>
    <xf borderId="0" fillId="0" fontId="7" numFmtId="172" xfId="0" applyAlignment="1" applyFont="1" applyNumberFormat="1">
      <alignment vertical="bottom"/>
    </xf>
    <xf borderId="0" fillId="5" fontId="11" numFmtId="0" xfId="0" applyAlignment="1" applyFont="1">
      <alignment horizontal="center" readingOrder="0"/>
    </xf>
    <xf borderId="0" fillId="6" fontId="11" numFmtId="0" xfId="0" applyAlignment="1" applyFont="1">
      <alignment horizontal="center" readingOrder="0"/>
    </xf>
    <xf borderId="0" fillId="4" fontId="11" numFmtId="9" xfId="0" applyAlignment="1" applyFont="1" applyNumberFormat="1">
      <alignment readingOrder="0"/>
    </xf>
    <xf borderId="0" fillId="4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552575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13"/>
    <col customWidth="1" min="2" max="2" width="7.75"/>
    <col customWidth="1" min="3" max="3" width="9.0"/>
    <col customWidth="1" min="5" max="5" width="16.13"/>
    <col customWidth="1" min="6" max="6" width="9.88"/>
    <col customWidth="1" min="7" max="7" width="8.88"/>
    <col customWidth="1" min="8" max="8" width="6.25"/>
    <col customWidth="1" min="9" max="9" width="4.25"/>
    <col customWidth="1" min="10" max="10" width="14.88"/>
    <col customWidth="1" min="12" max="12" width="10.13"/>
    <col customWidth="1" min="13" max="13" width="28.0"/>
    <col customWidth="1" min="15" max="15" width="14.0"/>
    <col customWidth="1" min="19" max="19" width="9.5"/>
    <col hidden="1" min="20" max="28" width="12.63"/>
    <col customWidth="1" min="29" max="29" width="10.38"/>
    <col customWidth="1" min="30" max="30" width="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2"/>
      <c r="B2" s="1"/>
      <c r="C2" s="1"/>
      <c r="D2" s="2"/>
      <c r="E2" s="3" t="s">
        <v>0</v>
      </c>
      <c r="F2" s="1"/>
      <c r="G2" s="4">
        <v>1.35</v>
      </c>
      <c r="H2" s="1"/>
      <c r="I2" s="1"/>
      <c r="J2" s="5" t="s">
        <v>1</v>
      </c>
      <c r="K2" s="6">
        <v>4047.0</v>
      </c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8"/>
      <c r="AH2" s="8"/>
    </row>
    <row r="3">
      <c r="A3" s="2"/>
      <c r="B3" s="1"/>
      <c r="C3" s="9"/>
      <c r="D3" s="2"/>
      <c r="E3" s="10" t="s">
        <v>2</v>
      </c>
      <c r="F3" s="11"/>
      <c r="G3" s="12">
        <v>0.86</v>
      </c>
      <c r="H3" s="1"/>
      <c r="I3" s="1"/>
      <c r="J3" s="5" t="s">
        <v>3</v>
      </c>
      <c r="K3" s="5">
        <v>0.4047</v>
      </c>
      <c r="L3" s="1"/>
      <c r="M3" s="1"/>
      <c r="N3" s="1"/>
      <c r="O3" s="1"/>
      <c r="P3" s="1"/>
      <c r="Q3" s="1"/>
      <c r="R3" s="13" t="s">
        <v>4</v>
      </c>
      <c r="S3" s="14"/>
      <c r="T3" s="13">
        <v>150.0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"/>
      <c r="AF3" s="1"/>
      <c r="AG3" s="8"/>
      <c r="AH3" s="8"/>
    </row>
    <row r="4">
      <c r="A4" s="2"/>
      <c r="B4" s="1"/>
      <c r="C4" s="1"/>
      <c r="D4" s="2"/>
      <c r="E4" s="10" t="s">
        <v>5</v>
      </c>
      <c r="F4" s="16"/>
      <c r="G4" s="17">
        <v>12000.0</v>
      </c>
      <c r="H4" s="1"/>
      <c r="I4" s="1"/>
      <c r="J4" s="5" t="s">
        <v>6</v>
      </c>
      <c r="K4" s="6">
        <v>10000.0</v>
      </c>
      <c r="L4" s="7"/>
      <c r="M4" s="1"/>
      <c r="N4" s="1"/>
      <c r="O4" s="1"/>
      <c r="P4" s="1"/>
      <c r="Q4" s="1"/>
      <c r="R4" s="18" t="s">
        <v>7</v>
      </c>
      <c r="S4" s="19"/>
      <c r="T4" s="18">
        <v>0.03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"/>
      <c r="AF4" s="1"/>
      <c r="AG4" s="20"/>
      <c r="AH4" s="20"/>
    </row>
    <row r="5">
      <c r="A5" s="1"/>
      <c r="B5" s="1"/>
      <c r="C5" s="21"/>
      <c r="D5" s="21"/>
      <c r="E5" s="22" t="s">
        <v>8</v>
      </c>
      <c r="F5" s="23"/>
      <c r="G5" s="24">
        <v>1.2</v>
      </c>
      <c r="H5" s="21"/>
      <c r="I5" s="1"/>
      <c r="J5" s="1"/>
      <c r="K5" s="1"/>
      <c r="L5" s="1"/>
      <c r="M5" s="1"/>
      <c r="N5" s="1"/>
      <c r="O5" s="1"/>
      <c r="P5" s="1"/>
      <c r="Q5" s="1"/>
      <c r="R5" s="25" t="s">
        <v>9</v>
      </c>
      <c r="S5" s="19"/>
      <c r="T5" s="26">
        <v>0.25</v>
      </c>
      <c r="U5" s="15"/>
      <c r="V5" s="15"/>
      <c r="W5" s="15"/>
      <c r="X5" s="15"/>
      <c r="Y5" s="15"/>
      <c r="Z5" s="15"/>
      <c r="AA5" s="15"/>
      <c r="AB5" s="15"/>
      <c r="AC5" s="19"/>
      <c r="AD5" s="26">
        <f>1^(1+T4)</f>
        <v>1</v>
      </c>
      <c r="AE5" s="1"/>
      <c r="AF5" s="1"/>
      <c r="AG5" s="8"/>
      <c r="AH5" s="8"/>
    </row>
    <row r="6">
      <c r="A6" s="27"/>
      <c r="B6" s="28" t="s">
        <v>10</v>
      </c>
      <c r="C6" s="29" t="s">
        <v>11</v>
      </c>
      <c r="D6" s="30" t="s">
        <v>12</v>
      </c>
      <c r="E6" s="28" t="s">
        <v>13</v>
      </c>
      <c r="F6" s="31" t="s">
        <v>14</v>
      </c>
      <c r="G6" s="32" t="s">
        <v>15</v>
      </c>
      <c r="H6" s="33" t="s">
        <v>16</v>
      </c>
      <c r="I6" s="34"/>
      <c r="J6" s="35" t="s">
        <v>17</v>
      </c>
      <c r="K6" s="36" t="s">
        <v>18</v>
      </c>
      <c r="L6" s="36" t="s">
        <v>19</v>
      </c>
      <c r="M6" s="36" t="s">
        <v>20</v>
      </c>
      <c r="N6" s="37" t="s">
        <v>21</v>
      </c>
      <c r="O6" s="38" t="s">
        <v>22</v>
      </c>
      <c r="P6" s="36" t="s">
        <v>23</v>
      </c>
      <c r="Q6" s="36" t="s">
        <v>24</v>
      </c>
      <c r="R6" s="36" t="s">
        <v>25</v>
      </c>
      <c r="S6" s="36" t="s">
        <v>26</v>
      </c>
      <c r="T6" s="36" t="s">
        <v>27</v>
      </c>
      <c r="U6" s="36" t="s">
        <v>28</v>
      </c>
      <c r="V6" s="36" t="s">
        <v>29</v>
      </c>
      <c r="W6" s="36" t="s">
        <v>30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9"/>
      <c r="AH6" s="40"/>
    </row>
    <row r="7">
      <c r="A7" s="1"/>
      <c r="B7" s="41" t="s">
        <v>40</v>
      </c>
      <c r="C7" s="42" t="s">
        <v>41</v>
      </c>
      <c r="D7" s="41" t="s">
        <v>42</v>
      </c>
      <c r="E7" s="41" t="s">
        <v>43</v>
      </c>
      <c r="F7" s="43" t="s">
        <v>44</v>
      </c>
      <c r="G7" s="44">
        <v>750.0</v>
      </c>
      <c r="H7" s="44">
        <f t="shared" ref="H7:H13" si="2">G7/$G$5</f>
        <v>625</v>
      </c>
      <c r="I7" s="45" t="s">
        <v>45</v>
      </c>
      <c r="J7" s="46">
        <v>1.0</v>
      </c>
      <c r="K7" s="47" t="s">
        <v>46</v>
      </c>
      <c r="L7" s="48">
        <v>64.0</v>
      </c>
      <c r="M7" s="49" t="s">
        <v>47</v>
      </c>
      <c r="N7" s="50" t="s">
        <v>48</v>
      </c>
      <c r="O7" s="51">
        <v>0.0</v>
      </c>
      <c r="P7" s="52">
        <f t="shared" ref="P7:P13" si="3">H7*$G$4</f>
        <v>7500000</v>
      </c>
      <c r="Q7" s="52">
        <f t="shared" ref="Q7:Q13" si="4">O7+P7</f>
        <v>7500000</v>
      </c>
      <c r="R7" s="52">
        <f t="shared" ref="R7:R13" si="5">Q7*1.3</f>
        <v>9750000</v>
      </c>
      <c r="S7" s="52">
        <f t="shared" ref="S7:S13" si="6">-Q7</f>
        <v>-7500000</v>
      </c>
      <c r="T7" s="52">
        <f t="shared" ref="T7:T13" si="7">($T$3*12*H7)*(1-$T$5)</f>
        <v>843750</v>
      </c>
      <c r="U7" s="52">
        <f t="shared" ref="U7:AC7" si="1">T7*(1+$T$4)</f>
        <v>869062.5</v>
      </c>
      <c r="V7" s="52">
        <f t="shared" si="1"/>
        <v>895134.375</v>
      </c>
      <c r="W7" s="52">
        <f t="shared" si="1"/>
        <v>921988.4063</v>
      </c>
      <c r="X7" s="52">
        <f t="shared" si="1"/>
        <v>949648.0584</v>
      </c>
      <c r="Y7" s="52">
        <f t="shared" si="1"/>
        <v>978137.5002</v>
      </c>
      <c r="Z7" s="52">
        <f t="shared" si="1"/>
        <v>1007481.625</v>
      </c>
      <c r="AA7" s="52">
        <f t="shared" si="1"/>
        <v>1037706.074</v>
      </c>
      <c r="AB7" s="52">
        <f t="shared" si="1"/>
        <v>1068837.256</v>
      </c>
      <c r="AC7" s="52">
        <f t="shared" si="1"/>
        <v>1100902.374</v>
      </c>
      <c r="AD7" s="52">
        <f t="shared" ref="AD7:AD13" si="9">FV($T$4,10,0,-R7)</f>
        <v>13103184.7</v>
      </c>
      <c r="AE7" s="53">
        <f t="shared" ref="AE7:AE13" si="10">irr((S7:AD7))</f>
        <v>0.1502612487</v>
      </c>
      <c r="AF7" s="54">
        <f t="shared" ref="AF7:AF13" si="11">Q7/T7</f>
        <v>8.888888889</v>
      </c>
      <c r="AG7" s="55"/>
      <c r="AH7" s="8"/>
    </row>
    <row r="8">
      <c r="A8" s="1"/>
      <c r="B8" s="41" t="s">
        <v>49</v>
      </c>
      <c r="C8" s="42" t="s">
        <v>50</v>
      </c>
      <c r="D8" s="41" t="s">
        <v>51</v>
      </c>
      <c r="E8" s="41" t="s">
        <v>52</v>
      </c>
      <c r="F8" s="43" t="s">
        <v>53</v>
      </c>
      <c r="G8" s="56">
        <v>22.0</v>
      </c>
      <c r="H8" s="44">
        <f t="shared" si="2"/>
        <v>18.33333333</v>
      </c>
      <c r="I8" s="45" t="s">
        <v>45</v>
      </c>
      <c r="J8" s="46">
        <v>2.0</v>
      </c>
      <c r="K8" s="47" t="s">
        <v>54</v>
      </c>
      <c r="L8" s="48">
        <v>5.0</v>
      </c>
      <c r="M8" s="49" t="s">
        <v>47</v>
      </c>
      <c r="N8" s="57" t="s">
        <v>55</v>
      </c>
      <c r="O8" s="51">
        <v>15000.0</v>
      </c>
      <c r="P8" s="52">
        <f t="shared" si="3"/>
        <v>220000</v>
      </c>
      <c r="Q8" s="52">
        <f t="shared" si="4"/>
        <v>235000</v>
      </c>
      <c r="R8" s="52">
        <f t="shared" si="5"/>
        <v>305500</v>
      </c>
      <c r="S8" s="52">
        <f t="shared" si="6"/>
        <v>-235000</v>
      </c>
      <c r="T8" s="52">
        <f t="shared" si="7"/>
        <v>24750</v>
      </c>
      <c r="U8" s="52">
        <f t="shared" ref="U8:AC8" si="8">T8*(1+$T$4)</f>
        <v>25492.5</v>
      </c>
      <c r="V8" s="52">
        <f t="shared" si="8"/>
        <v>26257.275</v>
      </c>
      <c r="W8" s="52">
        <f t="shared" si="8"/>
        <v>27044.99325</v>
      </c>
      <c r="X8" s="52">
        <f t="shared" si="8"/>
        <v>27856.34305</v>
      </c>
      <c r="Y8" s="52">
        <f t="shared" si="8"/>
        <v>28692.03334</v>
      </c>
      <c r="Z8" s="52">
        <f t="shared" si="8"/>
        <v>29552.79434</v>
      </c>
      <c r="AA8" s="52">
        <f t="shared" si="8"/>
        <v>30439.37817</v>
      </c>
      <c r="AB8" s="52">
        <f t="shared" si="8"/>
        <v>31352.55951</v>
      </c>
      <c r="AC8" s="52">
        <f t="shared" si="8"/>
        <v>32293.1363</v>
      </c>
      <c r="AD8" s="52">
        <f t="shared" si="9"/>
        <v>410566.4539</v>
      </c>
      <c r="AE8" s="53">
        <f t="shared" si="10"/>
        <v>0.1437192311</v>
      </c>
      <c r="AF8" s="54">
        <f t="shared" si="11"/>
        <v>9.494949495</v>
      </c>
      <c r="AG8" s="55"/>
      <c r="AH8" s="8"/>
    </row>
    <row r="9">
      <c r="A9" s="1"/>
      <c r="B9" s="41" t="s">
        <v>56</v>
      </c>
      <c r="C9" s="42" t="s">
        <v>57</v>
      </c>
      <c r="D9" s="41" t="s">
        <v>51</v>
      </c>
      <c r="E9" s="41" t="s">
        <v>58</v>
      </c>
      <c r="F9" s="47" t="s">
        <v>53</v>
      </c>
      <c r="G9" s="44">
        <v>120.0</v>
      </c>
      <c r="H9" s="44">
        <f t="shared" si="2"/>
        <v>100</v>
      </c>
      <c r="I9" s="45" t="s">
        <v>45</v>
      </c>
      <c r="J9" s="46">
        <v>3.0</v>
      </c>
      <c r="K9" s="47" t="s">
        <v>59</v>
      </c>
      <c r="L9" s="48">
        <v>10.0</v>
      </c>
      <c r="M9" s="49" t="s">
        <v>60</v>
      </c>
      <c r="N9" s="57" t="s">
        <v>55</v>
      </c>
      <c r="O9" s="51">
        <v>0.0</v>
      </c>
      <c r="P9" s="52">
        <f t="shared" si="3"/>
        <v>1200000</v>
      </c>
      <c r="Q9" s="52">
        <f t="shared" si="4"/>
        <v>1200000</v>
      </c>
      <c r="R9" s="52">
        <f t="shared" si="5"/>
        <v>1560000</v>
      </c>
      <c r="S9" s="52">
        <f t="shared" si="6"/>
        <v>-1200000</v>
      </c>
      <c r="T9" s="52">
        <f t="shared" si="7"/>
        <v>135000</v>
      </c>
      <c r="U9" s="52">
        <f t="shared" ref="U9:AC9" si="12">T9*(1+$T$4)</f>
        <v>139050</v>
      </c>
      <c r="V9" s="52">
        <f t="shared" si="12"/>
        <v>143221.5</v>
      </c>
      <c r="W9" s="52">
        <f t="shared" si="12"/>
        <v>147518.145</v>
      </c>
      <c r="X9" s="52">
        <f t="shared" si="12"/>
        <v>151943.6894</v>
      </c>
      <c r="Y9" s="52">
        <f t="shared" si="12"/>
        <v>156502</v>
      </c>
      <c r="Z9" s="52">
        <f t="shared" si="12"/>
        <v>161197.06</v>
      </c>
      <c r="AA9" s="52">
        <f t="shared" si="12"/>
        <v>166032.9718</v>
      </c>
      <c r="AB9" s="52">
        <f t="shared" si="12"/>
        <v>171013.961</v>
      </c>
      <c r="AC9" s="52">
        <f t="shared" si="12"/>
        <v>176144.3798</v>
      </c>
      <c r="AD9" s="52">
        <f t="shared" si="9"/>
        <v>2096509.552</v>
      </c>
      <c r="AE9" s="53">
        <f t="shared" si="10"/>
        <v>0.1502612487</v>
      </c>
      <c r="AF9" s="54">
        <f t="shared" si="11"/>
        <v>8.888888889</v>
      </c>
      <c r="AG9" s="55"/>
      <c r="AH9" s="8"/>
    </row>
    <row r="10">
      <c r="A10" s="1"/>
      <c r="B10" s="58" t="s">
        <v>61</v>
      </c>
      <c r="C10" s="42" t="s">
        <v>62</v>
      </c>
      <c r="D10" s="41" t="s">
        <v>63</v>
      </c>
      <c r="E10" s="58" t="s">
        <v>64</v>
      </c>
      <c r="F10" s="43" t="s">
        <v>53</v>
      </c>
      <c r="G10" s="44">
        <v>20.0</v>
      </c>
      <c r="H10" s="44">
        <f t="shared" si="2"/>
        <v>16.66666667</v>
      </c>
      <c r="I10" s="45" t="s">
        <v>45</v>
      </c>
      <c r="J10" s="46">
        <v>4.0</v>
      </c>
      <c r="K10" s="47" t="s">
        <v>54</v>
      </c>
      <c r="L10" s="59"/>
      <c r="M10" s="49" t="s">
        <v>65</v>
      </c>
      <c r="N10" s="57" t="s">
        <v>66</v>
      </c>
      <c r="O10" s="51">
        <f>H10*1000/$G$3</f>
        <v>19379.84496</v>
      </c>
      <c r="P10" s="52">
        <f t="shared" si="3"/>
        <v>200000</v>
      </c>
      <c r="Q10" s="52">
        <f t="shared" si="4"/>
        <v>219379.845</v>
      </c>
      <c r="R10" s="52">
        <f t="shared" si="5"/>
        <v>285193.7984</v>
      </c>
      <c r="S10" s="52">
        <f t="shared" si="6"/>
        <v>-219379.845</v>
      </c>
      <c r="T10" s="52">
        <f t="shared" si="7"/>
        <v>22500</v>
      </c>
      <c r="U10" s="52">
        <f t="shared" ref="U10:AC10" si="13">T10*(1+$T$4)</f>
        <v>23175</v>
      </c>
      <c r="V10" s="52">
        <f t="shared" si="13"/>
        <v>23870.25</v>
      </c>
      <c r="W10" s="52">
        <f t="shared" si="13"/>
        <v>24586.3575</v>
      </c>
      <c r="X10" s="52">
        <f t="shared" si="13"/>
        <v>25323.94823</v>
      </c>
      <c r="Y10" s="52">
        <f t="shared" si="13"/>
        <v>26083.66667</v>
      </c>
      <c r="Z10" s="52">
        <f t="shared" si="13"/>
        <v>26866.17667</v>
      </c>
      <c r="AA10" s="52">
        <f t="shared" si="13"/>
        <v>27672.16197</v>
      </c>
      <c r="AB10" s="52">
        <f t="shared" si="13"/>
        <v>28502.32683</v>
      </c>
      <c r="AC10" s="52">
        <f t="shared" si="13"/>
        <v>29357.39664</v>
      </c>
      <c r="AD10" s="52">
        <f t="shared" si="9"/>
        <v>383276.617</v>
      </c>
      <c r="AE10" s="53">
        <f t="shared" si="10"/>
        <v>0.1412158652</v>
      </c>
      <c r="AF10" s="54">
        <f t="shared" si="11"/>
        <v>9.750215332</v>
      </c>
      <c r="AG10" s="55"/>
      <c r="AH10" s="8"/>
    </row>
    <row r="11">
      <c r="A11" s="1"/>
      <c r="B11" s="41" t="s">
        <v>67</v>
      </c>
      <c r="C11" s="3" t="s">
        <v>68</v>
      </c>
      <c r="D11" s="41" t="s">
        <v>69</v>
      </c>
      <c r="E11" s="41" t="s">
        <v>70</v>
      </c>
      <c r="F11" s="47" t="s">
        <v>71</v>
      </c>
      <c r="G11" s="44">
        <v>120.0</v>
      </c>
      <c r="H11" s="44">
        <f t="shared" si="2"/>
        <v>100</v>
      </c>
      <c r="I11" s="45" t="s">
        <v>45</v>
      </c>
      <c r="J11" s="43" t="s">
        <v>17</v>
      </c>
      <c r="K11" s="47" t="s">
        <v>59</v>
      </c>
      <c r="L11" s="48">
        <v>8.0</v>
      </c>
      <c r="M11" s="49" t="s">
        <v>72</v>
      </c>
      <c r="N11" s="57" t="s">
        <v>73</v>
      </c>
      <c r="O11" s="51">
        <v>0.0</v>
      </c>
      <c r="P11" s="52">
        <f t="shared" si="3"/>
        <v>1200000</v>
      </c>
      <c r="Q11" s="52">
        <f t="shared" si="4"/>
        <v>1200000</v>
      </c>
      <c r="R11" s="52">
        <f t="shared" si="5"/>
        <v>1560000</v>
      </c>
      <c r="S11" s="52">
        <f t="shared" si="6"/>
        <v>-1200000</v>
      </c>
      <c r="T11" s="52">
        <f t="shared" si="7"/>
        <v>135000</v>
      </c>
      <c r="U11" s="52">
        <f t="shared" ref="U11:AC11" si="14">T11*(1+$T$4)</f>
        <v>139050</v>
      </c>
      <c r="V11" s="52">
        <f t="shared" si="14"/>
        <v>143221.5</v>
      </c>
      <c r="W11" s="52">
        <f t="shared" si="14"/>
        <v>147518.145</v>
      </c>
      <c r="X11" s="52">
        <f t="shared" si="14"/>
        <v>151943.6894</v>
      </c>
      <c r="Y11" s="52">
        <f t="shared" si="14"/>
        <v>156502</v>
      </c>
      <c r="Z11" s="52">
        <f t="shared" si="14"/>
        <v>161197.06</v>
      </c>
      <c r="AA11" s="52">
        <f t="shared" si="14"/>
        <v>166032.9718</v>
      </c>
      <c r="AB11" s="52">
        <f t="shared" si="14"/>
        <v>171013.961</v>
      </c>
      <c r="AC11" s="52">
        <f t="shared" si="14"/>
        <v>176144.3798</v>
      </c>
      <c r="AD11" s="52">
        <f t="shared" si="9"/>
        <v>2096509.552</v>
      </c>
      <c r="AE11" s="53">
        <f t="shared" si="10"/>
        <v>0.1502612487</v>
      </c>
      <c r="AF11" s="54">
        <f t="shared" si="11"/>
        <v>8.888888889</v>
      </c>
      <c r="AG11" s="55"/>
      <c r="AH11" s="8"/>
    </row>
    <row r="12">
      <c r="A12" s="1"/>
      <c r="B12" s="41" t="s">
        <v>74</v>
      </c>
      <c r="C12" s="3" t="s">
        <v>75</v>
      </c>
      <c r="D12" s="41" t="s">
        <v>76</v>
      </c>
      <c r="E12" s="41" t="s">
        <v>77</v>
      </c>
      <c r="F12" s="47" t="s">
        <v>53</v>
      </c>
      <c r="G12" s="44">
        <v>120.0</v>
      </c>
      <c r="H12" s="44">
        <f t="shared" si="2"/>
        <v>100</v>
      </c>
      <c r="I12" s="45" t="s">
        <v>45</v>
      </c>
      <c r="J12" s="43" t="s">
        <v>17</v>
      </c>
      <c r="K12" s="47" t="s">
        <v>59</v>
      </c>
      <c r="L12" s="48">
        <v>247.0</v>
      </c>
      <c r="M12" s="49" t="s">
        <v>60</v>
      </c>
      <c r="N12" s="57" t="s">
        <v>78</v>
      </c>
      <c r="O12" s="51">
        <v>0.0</v>
      </c>
      <c r="P12" s="52">
        <f t="shared" si="3"/>
        <v>1200000</v>
      </c>
      <c r="Q12" s="52">
        <f t="shared" si="4"/>
        <v>1200000</v>
      </c>
      <c r="R12" s="52">
        <f t="shared" si="5"/>
        <v>1560000</v>
      </c>
      <c r="S12" s="52">
        <f t="shared" si="6"/>
        <v>-1200000</v>
      </c>
      <c r="T12" s="52">
        <f t="shared" si="7"/>
        <v>135000</v>
      </c>
      <c r="U12" s="52">
        <f t="shared" ref="U12:AC12" si="15">T12*(1+$T$4)</f>
        <v>139050</v>
      </c>
      <c r="V12" s="52">
        <f t="shared" si="15"/>
        <v>143221.5</v>
      </c>
      <c r="W12" s="52">
        <f t="shared" si="15"/>
        <v>147518.145</v>
      </c>
      <c r="X12" s="52">
        <f t="shared" si="15"/>
        <v>151943.6894</v>
      </c>
      <c r="Y12" s="52">
        <f t="shared" si="15"/>
        <v>156502</v>
      </c>
      <c r="Z12" s="52">
        <f t="shared" si="15"/>
        <v>161197.06</v>
      </c>
      <c r="AA12" s="52">
        <f t="shared" si="15"/>
        <v>166032.9718</v>
      </c>
      <c r="AB12" s="52">
        <f t="shared" si="15"/>
        <v>171013.961</v>
      </c>
      <c r="AC12" s="52">
        <f t="shared" si="15"/>
        <v>176144.3798</v>
      </c>
      <c r="AD12" s="52">
        <f t="shared" si="9"/>
        <v>2096509.552</v>
      </c>
      <c r="AE12" s="53">
        <f t="shared" si="10"/>
        <v>0.1502612487</v>
      </c>
      <c r="AF12" s="54">
        <f t="shared" si="11"/>
        <v>8.888888889</v>
      </c>
      <c r="AG12" s="55"/>
      <c r="AH12" s="8"/>
    </row>
    <row r="13">
      <c r="A13" s="1"/>
      <c r="B13" s="58" t="s">
        <v>79</v>
      </c>
      <c r="C13" s="60" t="s">
        <v>80</v>
      </c>
      <c r="D13" s="41" t="s">
        <v>81</v>
      </c>
      <c r="E13" s="41" t="s">
        <v>82</v>
      </c>
      <c r="F13" s="47" t="s">
        <v>53</v>
      </c>
      <c r="G13" s="47">
        <v>100.0</v>
      </c>
      <c r="H13" s="44">
        <f t="shared" si="2"/>
        <v>83.33333333</v>
      </c>
      <c r="I13" s="45" t="s">
        <v>45</v>
      </c>
      <c r="J13" s="47" t="s">
        <v>17</v>
      </c>
      <c r="K13" s="47" t="s">
        <v>59</v>
      </c>
      <c r="L13" s="59"/>
      <c r="M13" s="49" t="s">
        <v>65</v>
      </c>
      <c r="N13" s="57" t="s">
        <v>83</v>
      </c>
      <c r="O13" s="51">
        <f>H13*1000/$G$3</f>
        <v>96899.22481</v>
      </c>
      <c r="P13" s="52">
        <f t="shared" si="3"/>
        <v>1000000</v>
      </c>
      <c r="Q13" s="52">
        <f t="shared" si="4"/>
        <v>1096899.225</v>
      </c>
      <c r="R13" s="52">
        <f t="shared" si="5"/>
        <v>1425968.992</v>
      </c>
      <c r="S13" s="52">
        <f t="shared" si="6"/>
        <v>-1096899.225</v>
      </c>
      <c r="T13" s="52">
        <f t="shared" si="7"/>
        <v>112500</v>
      </c>
      <c r="U13" s="52">
        <f t="shared" ref="U13:AC13" si="16">T13*(1+$T$4)</f>
        <v>115875</v>
      </c>
      <c r="V13" s="52">
        <f t="shared" si="16"/>
        <v>119351.25</v>
      </c>
      <c r="W13" s="52">
        <f t="shared" si="16"/>
        <v>122931.7875</v>
      </c>
      <c r="X13" s="52">
        <f t="shared" si="16"/>
        <v>126619.7411</v>
      </c>
      <c r="Y13" s="52">
        <f t="shared" si="16"/>
        <v>130418.3334</v>
      </c>
      <c r="Z13" s="52">
        <f t="shared" si="16"/>
        <v>134330.8834</v>
      </c>
      <c r="AA13" s="52">
        <f t="shared" si="16"/>
        <v>138360.8099</v>
      </c>
      <c r="AB13" s="52">
        <f t="shared" si="16"/>
        <v>142511.6342</v>
      </c>
      <c r="AC13" s="52">
        <f t="shared" si="16"/>
        <v>146786.9832</v>
      </c>
      <c r="AD13" s="52">
        <f t="shared" si="9"/>
        <v>1916383.085</v>
      </c>
      <c r="AE13" s="53">
        <f t="shared" si="10"/>
        <v>0.1412158652</v>
      </c>
      <c r="AF13" s="54">
        <f t="shared" si="11"/>
        <v>9.750215332</v>
      </c>
      <c r="AG13" s="55"/>
      <c r="AH13" s="8"/>
    </row>
    <row r="14">
      <c r="A14" s="1"/>
      <c r="B14" s="58" t="s">
        <v>84</v>
      </c>
      <c r="C14" s="60" t="s">
        <v>85</v>
      </c>
      <c r="D14" s="41" t="s">
        <v>86</v>
      </c>
      <c r="E14" s="41" t="s">
        <v>87</v>
      </c>
      <c r="F14" s="47" t="s">
        <v>88</v>
      </c>
      <c r="G14" s="47" t="s">
        <v>89</v>
      </c>
      <c r="H14" s="54" t="s">
        <v>89</v>
      </c>
      <c r="I14" s="7"/>
      <c r="J14" s="47" t="s">
        <v>17</v>
      </c>
      <c r="K14" s="47" t="s">
        <v>59</v>
      </c>
      <c r="L14" s="48" t="s">
        <v>89</v>
      </c>
      <c r="M14" s="49" t="s">
        <v>65</v>
      </c>
      <c r="N14" s="57" t="s">
        <v>78</v>
      </c>
      <c r="O14" s="61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62"/>
      <c r="AF14" s="63"/>
      <c r="AG14" s="55"/>
      <c r="AH14" s="8"/>
    </row>
    <row r="15">
      <c r="A15" s="1"/>
      <c r="B15" s="41" t="s">
        <v>90</v>
      </c>
      <c r="C15" s="60" t="s">
        <v>91</v>
      </c>
      <c r="D15" s="41" t="s">
        <v>81</v>
      </c>
      <c r="E15" s="41" t="s">
        <v>92</v>
      </c>
      <c r="F15" s="47" t="s">
        <v>53</v>
      </c>
      <c r="G15" s="44">
        <v>200.0</v>
      </c>
      <c r="H15" s="44">
        <f t="shared" ref="H15:H56" si="18">G15/$G$5</f>
        <v>166.6666667</v>
      </c>
      <c r="I15" s="45" t="s">
        <v>45</v>
      </c>
      <c r="J15" s="9"/>
      <c r="K15" s="47" t="s">
        <v>59</v>
      </c>
      <c r="L15" s="48">
        <v>140.0</v>
      </c>
      <c r="M15" s="49" t="s">
        <v>60</v>
      </c>
      <c r="N15" s="57" t="s">
        <v>93</v>
      </c>
      <c r="O15" s="51">
        <f>60000/$G$3</f>
        <v>69767.44186</v>
      </c>
      <c r="P15" s="52">
        <f t="shared" ref="P15:P55" si="19">H15*$G$4</f>
        <v>2000000</v>
      </c>
      <c r="Q15" s="52">
        <f t="shared" ref="Q15:Q55" si="20">O15+P15</f>
        <v>2069767.442</v>
      </c>
      <c r="R15" s="52">
        <f t="shared" ref="R15:R55" si="21">Q15*1.3</f>
        <v>2690697.674</v>
      </c>
      <c r="S15" s="52">
        <f t="shared" ref="S15:S55" si="22">-Q15</f>
        <v>-2069767.442</v>
      </c>
      <c r="T15" s="52">
        <f t="shared" ref="T15:T17" si="23">($T$3*12*H15)*(1-$T$5)</f>
        <v>225000</v>
      </c>
      <c r="U15" s="52">
        <f t="shared" ref="U15:AC15" si="17">T15*(1+$T$4)</f>
        <v>231750</v>
      </c>
      <c r="V15" s="52">
        <f t="shared" si="17"/>
        <v>238702.5</v>
      </c>
      <c r="W15" s="52">
        <f t="shared" si="17"/>
        <v>245863.575</v>
      </c>
      <c r="X15" s="52">
        <f t="shared" si="17"/>
        <v>253239.4823</v>
      </c>
      <c r="Y15" s="52">
        <f t="shared" si="17"/>
        <v>260836.6667</v>
      </c>
      <c r="Z15" s="52">
        <f t="shared" si="17"/>
        <v>268661.7667</v>
      </c>
      <c r="AA15" s="52">
        <f t="shared" si="17"/>
        <v>276721.6197</v>
      </c>
      <c r="AB15" s="52">
        <f t="shared" si="17"/>
        <v>285023.2683</v>
      </c>
      <c r="AC15" s="52">
        <f t="shared" si="17"/>
        <v>293573.9664</v>
      </c>
      <c r="AD15" s="52">
        <f t="shared" ref="AD15:AD37" si="25">FV($T$4,10,0,-R15)</f>
        <v>3616072.677</v>
      </c>
      <c r="AE15" s="53">
        <f t="shared" ref="AE15:AE55" si="26">irr((S15:AD15))</f>
        <v>0.1468024571</v>
      </c>
      <c r="AF15" s="54">
        <f t="shared" ref="AF15:AF55" si="27">Q15/T15</f>
        <v>9.198966408</v>
      </c>
      <c r="AG15" s="55"/>
      <c r="AH15" s="8"/>
    </row>
    <row r="16">
      <c r="A16" s="1"/>
      <c r="B16" s="41" t="s">
        <v>94</v>
      </c>
      <c r="C16" s="60" t="s">
        <v>95</v>
      </c>
      <c r="D16" s="41" t="s">
        <v>81</v>
      </c>
      <c r="E16" s="41" t="s">
        <v>96</v>
      </c>
      <c r="F16" s="47" t="s">
        <v>53</v>
      </c>
      <c r="G16" s="44">
        <v>180.0</v>
      </c>
      <c r="H16" s="44">
        <f t="shared" si="18"/>
        <v>150</v>
      </c>
      <c r="I16" s="45" t="s">
        <v>45</v>
      </c>
      <c r="J16" s="9"/>
      <c r="K16" s="47" t="s">
        <v>59</v>
      </c>
      <c r="L16" s="48">
        <v>99.0</v>
      </c>
      <c r="M16" s="49" t="s">
        <v>60</v>
      </c>
      <c r="N16" s="57" t="s">
        <v>93</v>
      </c>
      <c r="O16" s="51">
        <f>49000/$G$3</f>
        <v>56976.74419</v>
      </c>
      <c r="P16" s="52">
        <f t="shared" si="19"/>
        <v>1800000</v>
      </c>
      <c r="Q16" s="52">
        <f t="shared" si="20"/>
        <v>1856976.744</v>
      </c>
      <c r="R16" s="52">
        <f t="shared" si="21"/>
        <v>2414069.767</v>
      </c>
      <c r="S16" s="52">
        <f t="shared" si="22"/>
        <v>-1856976.744</v>
      </c>
      <c r="T16" s="52">
        <f t="shared" si="23"/>
        <v>202500</v>
      </c>
      <c r="U16" s="52">
        <f t="shared" ref="U16:AC16" si="24">T16*(1+$T$4)</f>
        <v>208575</v>
      </c>
      <c r="V16" s="52">
        <f t="shared" si="24"/>
        <v>214832.25</v>
      </c>
      <c r="W16" s="52">
        <f t="shared" si="24"/>
        <v>221277.2175</v>
      </c>
      <c r="X16" s="52">
        <f t="shared" si="24"/>
        <v>227915.534</v>
      </c>
      <c r="Y16" s="52">
        <f t="shared" si="24"/>
        <v>234753</v>
      </c>
      <c r="Z16" s="52">
        <f t="shared" si="24"/>
        <v>241795.59</v>
      </c>
      <c r="AA16" s="52">
        <f t="shared" si="24"/>
        <v>249049.4577</v>
      </c>
      <c r="AB16" s="52">
        <f t="shared" si="24"/>
        <v>256520.9415</v>
      </c>
      <c r="AC16" s="52">
        <f t="shared" si="24"/>
        <v>264216.5697</v>
      </c>
      <c r="AD16" s="52">
        <f t="shared" si="25"/>
        <v>3244307.901</v>
      </c>
      <c r="AE16" s="53">
        <f t="shared" si="26"/>
        <v>0.1471125239</v>
      </c>
      <c r="AF16" s="54">
        <f t="shared" si="27"/>
        <v>9.170255527</v>
      </c>
      <c r="AG16" s="55"/>
      <c r="AH16" s="8"/>
    </row>
    <row r="17">
      <c r="A17" s="1"/>
      <c r="B17" s="41" t="s">
        <v>97</v>
      </c>
      <c r="C17" s="3" t="s">
        <v>98</v>
      </c>
      <c r="D17" s="41" t="s">
        <v>51</v>
      </c>
      <c r="E17" s="41" t="s">
        <v>99</v>
      </c>
      <c r="F17" s="47" t="s">
        <v>53</v>
      </c>
      <c r="G17" s="44">
        <v>100.0</v>
      </c>
      <c r="H17" s="44">
        <f t="shared" si="18"/>
        <v>83.33333333</v>
      </c>
      <c r="I17" s="45" t="s">
        <v>45</v>
      </c>
      <c r="J17" s="9"/>
      <c r="K17" s="47" t="s">
        <v>59</v>
      </c>
      <c r="L17" s="48">
        <v>20.0</v>
      </c>
      <c r="M17" s="49" t="s">
        <v>60</v>
      </c>
      <c r="N17" s="57" t="s">
        <v>100</v>
      </c>
      <c r="O17" s="51">
        <f>H17*1000/$G$3</f>
        <v>96899.22481</v>
      </c>
      <c r="P17" s="52">
        <f t="shared" si="19"/>
        <v>1000000</v>
      </c>
      <c r="Q17" s="52">
        <f t="shared" si="20"/>
        <v>1096899.225</v>
      </c>
      <c r="R17" s="52">
        <f t="shared" si="21"/>
        <v>1425968.992</v>
      </c>
      <c r="S17" s="52">
        <f t="shared" si="22"/>
        <v>-1096899.225</v>
      </c>
      <c r="T17" s="52">
        <f t="shared" si="23"/>
        <v>112500</v>
      </c>
      <c r="U17" s="52">
        <f t="shared" ref="U17:AC17" si="28">T17*(1+$T$4)</f>
        <v>115875</v>
      </c>
      <c r="V17" s="52">
        <f t="shared" si="28"/>
        <v>119351.25</v>
      </c>
      <c r="W17" s="52">
        <f t="shared" si="28"/>
        <v>122931.7875</v>
      </c>
      <c r="X17" s="52">
        <f t="shared" si="28"/>
        <v>126619.7411</v>
      </c>
      <c r="Y17" s="52">
        <f t="shared" si="28"/>
        <v>130418.3334</v>
      </c>
      <c r="Z17" s="52">
        <f t="shared" si="28"/>
        <v>134330.8834</v>
      </c>
      <c r="AA17" s="52">
        <f t="shared" si="28"/>
        <v>138360.8099</v>
      </c>
      <c r="AB17" s="52">
        <f t="shared" si="28"/>
        <v>142511.6342</v>
      </c>
      <c r="AC17" s="52">
        <f t="shared" si="28"/>
        <v>146786.9832</v>
      </c>
      <c r="AD17" s="52">
        <f t="shared" si="25"/>
        <v>1916383.085</v>
      </c>
      <c r="AE17" s="53">
        <f t="shared" si="26"/>
        <v>0.1412158652</v>
      </c>
      <c r="AF17" s="54">
        <f t="shared" si="27"/>
        <v>9.750215332</v>
      </c>
      <c r="AG17" s="55"/>
      <c r="AH17" s="8"/>
    </row>
    <row r="18">
      <c r="A18" s="1"/>
      <c r="B18" s="41" t="s">
        <v>101</v>
      </c>
      <c r="C18" s="3" t="s">
        <v>102</v>
      </c>
      <c r="D18" s="41" t="s">
        <v>51</v>
      </c>
      <c r="E18" s="41" t="s">
        <v>103</v>
      </c>
      <c r="F18" s="47" t="s">
        <v>53</v>
      </c>
      <c r="G18" s="44">
        <v>750.0</v>
      </c>
      <c r="H18" s="44">
        <f t="shared" si="18"/>
        <v>625</v>
      </c>
      <c r="I18" s="45" t="s">
        <v>45</v>
      </c>
      <c r="J18" s="1"/>
      <c r="K18" s="47" t="s">
        <v>46</v>
      </c>
      <c r="L18" s="48">
        <v>420.0</v>
      </c>
      <c r="M18" s="49" t="s">
        <v>104</v>
      </c>
      <c r="N18" s="57" t="s">
        <v>55</v>
      </c>
      <c r="O18" s="51">
        <f>100000/$G$3</f>
        <v>116279.0698</v>
      </c>
      <c r="P18" s="52">
        <f t="shared" si="19"/>
        <v>7500000</v>
      </c>
      <c r="Q18" s="52">
        <f t="shared" si="20"/>
        <v>7616279.07</v>
      </c>
      <c r="R18" s="52">
        <f t="shared" si="21"/>
        <v>9901162.791</v>
      </c>
      <c r="S18" s="52">
        <f t="shared" si="22"/>
        <v>-7616279.07</v>
      </c>
      <c r="T18" s="52">
        <f>($T$3*12*$H18)*(1-$T$5)</f>
        <v>843750</v>
      </c>
      <c r="U18" s="52">
        <f>(T18*(1+$T$4))</f>
        <v>869062.5</v>
      </c>
      <c r="V18" s="52">
        <f t="shared" ref="V18:AC18" si="29">U18*(1+$T$4)</f>
        <v>895134.375</v>
      </c>
      <c r="W18" s="52">
        <f t="shared" si="29"/>
        <v>921988.4063</v>
      </c>
      <c r="X18" s="52">
        <f t="shared" si="29"/>
        <v>949648.0584</v>
      </c>
      <c r="Y18" s="52">
        <f t="shared" si="29"/>
        <v>978137.5002</v>
      </c>
      <c r="Z18" s="52">
        <f t="shared" si="29"/>
        <v>1007481.625</v>
      </c>
      <c r="AA18" s="52">
        <f t="shared" si="29"/>
        <v>1037706.074</v>
      </c>
      <c r="AB18" s="52">
        <f t="shared" si="29"/>
        <v>1068837.256</v>
      </c>
      <c r="AC18" s="52">
        <f t="shared" si="29"/>
        <v>1100902.374</v>
      </c>
      <c r="AD18" s="52">
        <f t="shared" si="25"/>
        <v>13306334.85</v>
      </c>
      <c r="AE18" s="53">
        <f t="shared" si="26"/>
        <v>0.1486935661</v>
      </c>
      <c r="AF18" s="54">
        <f t="shared" si="27"/>
        <v>9.02670112</v>
      </c>
      <c r="AG18" s="55"/>
      <c r="AH18" s="8"/>
    </row>
    <row r="19">
      <c r="A19" s="1"/>
      <c r="B19" s="41" t="s">
        <v>105</v>
      </c>
      <c r="C19" s="3" t="s">
        <v>106</v>
      </c>
      <c r="D19" s="41" t="s">
        <v>51</v>
      </c>
      <c r="E19" s="41" t="s">
        <v>107</v>
      </c>
      <c r="F19" s="47" t="s">
        <v>53</v>
      </c>
      <c r="G19" s="44">
        <v>230.0</v>
      </c>
      <c r="H19" s="44">
        <f t="shared" si="18"/>
        <v>191.6666667</v>
      </c>
      <c r="I19" s="45" t="s">
        <v>45</v>
      </c>
      <c r="J19" s="1"/>
      <c r="K19" s="47" t="s">
        <v>59</v>
      </c>
      <c r="L19" s="48">
        <v>20.0</v>
      </c>
      <c r="M19" s="49" t="s">
        <v>104</v>
      </c>
      <c r="N19" s="57" t="s">
        <v>108</v>
      </c>
      <c r="O19" s="51">
        <f>H19*1000/$G$3</f>
        <v>222868.2171</v>
      </c>
      <c r="P19" s="52">
        <f t="shared" si="19"/>
        <v>2300000</v>
      </c>
      <c r="Q19" s="52">
        <f t="shared" si="20"/>
        <v>2522868.217</v>
      </c>
      <c r="R19" s="52">
        <f t="shared" si="21"/>
        <v>3279728.682</v>
      </c>
      <c r="S19" s="52">
        <f t="shared" si="22"/>
        <v>-2522868.217</v>
      </c>
      <c r="T19" s="52">
        <f t="shared" ref="T19:T55" si="31">($T$3*12*H19)*(1-$T$5)</f>
        <v>258750</v>
      </c>
      <c r="U19" s="52">
        <f t="shared" ref="U19:AC19" si="30">T19*(1+$T$4)</f>
        <v>266512.5</v>
      </c>
      <c r="V19" s="52">
        <f t="shared" si="30"/>
        <v>274507.875</v>
      </c>
      <c r="W19" s="52">
        <f t="shared" si="30"/>
        <v>282743.1113</v>
      </c>
      <c r="X19" s="52">
        <f t="shared" si="30"/>
        <v>291225.4046</v>
      </c>
      <c r="Y19" s="52">
        <f t="shared" si="30"/>
        <v>299962.1667</v>
      </c>
      <c r="Z19" s="52">
        <f t="shared" si="30"/>
        <v>308961.0317</v>
      </c>
      <c r="AA19" s="52">
        <f t="shared" si="30"/>
        <v>318229.8627</v>
      </c>
      <c r="AB19" s="52">
        <f t="shared" si="30"/>
        <v>327776.7586</v>
      </c>
      <c r="AC19" s="52">
        <f t="shared" si="30"/>
        <v>337610.0613</v>
      </c>
      <c r="AD19" s="52">
        <f t="shared" si="25"/>
        <v>4407681.096</v>
      </c>
      <c r="AE19" s="53">
        <f t="shared" si="26"/>
        <v>0.1412158652</v>
      </c>
      <c r="AF19" s="54">
        <f t="shared" si="27"/>
        <v>9.750215332</v>
      </c>
      <c r="AG19" s="55"/>
      <c r="AH19" s="8"/>
    </row>
    <row r="20">
      <c r="A20" s="1"/>
      <c r="B20" s="41" t="s">
        <v>109</v>
      </c>
      <c r="C20" s="3" t="s">
        <v>110</v>
      </c>
      <c r="D20" s="41" t="s">
        <v>42</v>
      </c>
      <c r="E20" s="41" t="s">
        <v>111</v>
      </c>
      <c r="F20" s="47" t="s">
        <v>53</v>
      </c>
      <c r="G20" s="44">
        <v>140.0</v>
      </c>
      <c r="H20" s="44">
        <f t="shared" si="18"/>
        <v>116.6666667</v>
      </c>
      <c r="I20" s="45" t="s">
        <v>45</v>
      </c>
      <c r="J20" s="9"/>
      <c r="K20" s="47" t="s">
        <v>59</v>
      </c>
      <c r="L20" s="48">
        <v>100.0</v>
      </c>
      <c r="M20" s="49" t="s">
        <v>112</v>
      </c>
      <c r="N20" s="57" t="s">
        <v>113</v>
      </c>
      <c r="O20" s="51">
        <v>50000.0</v>
      </c>
      <c r="P20" s="52">
        <f t="shared" si="19"/>
        <v>1400000</v>
      </c>
      <c r="Q20" s="52">
        <f t="shared" si="20"/>
        <v>1450000</v>
      </c>
      <c r="R20" s="52">
        <f t="shared" si="21"/>
        <v>1885000</v>
      </c>
      <c r="S20" s="52">
        <f t="shared" si="22"/>
        <v>-1450000</v>
      </c>
      <c r="T20" s="52">
        <f t="shared" si="31"/>
        <v>157500</v>
      </c>
      <c r="U20" s="52">
        <f t="shared" ref="U20:AC20" si="32">T20*(1+$T$4)</f>
        <v>162225</v>
      </c>
      <c r="V20" s="52">
        <f t="shared" si="32"/>
        <v>167091.75</v>
      </c>
      <c r="W20" s="52">
        <f t="shared" si="32"/>
        <v>172104.5025</v>
      </c>
      <c r="X20" s="52">
        <f t="shared" si="32"/>
        <v>177267.6376</v>
      </c>
      <c r="Y20" s="52">
        <f t="shared" si="32"/>
        <v>182585.6667</v>
      </c>
      <c r="Z20" s="52">
        <f t="shared" si="32"/>
        <v>188063.2367</v>
      </c>
      <c r="AA20" s="52">
        <f t="shared" si="32"/>
        <v>193705.1338</v>
      </c>
      <c r="AB20" s="52">
        <f t="shared" si="32"/>
        <v>199516.2878</v>
      </c>
      <c r="AC20" s="52">
        <f t="shared" si="32"/>
        <v>205501.7765</v>
      </c>
      <c r="AD20" s="52">
        <f t="shared" si="25"/>
        <v>2533282.375</v>
      </c>
      <c r="AE20" s="53">
        <f t="shared" si="26"/>
        <v>0.1467230499</v>
      </c>
      <c r="AF20" s="54">
        <f t="shared" si="27"/>
        <v>9.206349206</v>
      </c>
      <c r="AG20" s="55"/>
      <c r="AH20" s="8"/>
    </row>
    <row r="21">
      <c r="A21" s="1"/>
      <c r="B21" s="41" t="s">
        <v>114</v>
      </c>
      <c r="C21" s="3" t="s">
        <v>115</v>
      </c>
      <c r="D21" s="41" t="s">
        <v>42</v>
      </c>
      <c r="E21" s="41" t="s">
        <v>116</v>
      </c>
      <c r="F21" s="47" t="s">
        <v>53</v>
      </c>
      <c r="G21" s="44">
        <v>30.0</v>
      </c>
      <c r="H21" s="44">
        <f t="shared" si="18"/>
        <v>25</v>
      </c>
      <c r="I21" s="45" t="s">
        <v>45</v>
      </c>
      <c r="J21" s="9"/>
      <c r="K21" s="47" t="s">
        <v>54</v>
      </c>
      <c r="L21" s="48">
        <v>30.0</v>
      </c>
      <c r="M21" s="49" t="s">
        <v>112</v>
      </c>
      <c r="N21" s="57" t="s">
        <v>113</v>
      </c>
      <c r="O21" s="51">
        <v>20000.0</v>
      </c>
      <c r="P21" s="52">
        <f t="shared" si="19"/>
        <v>300000</v>
      </c>
      <c r="Q21" s="52">
        <f t="shared" si="20"/>
        <v>320000</v>
      </c>
      <c r="R21" s="52">
        <f t="shared" si="21"/>
        <v>416000</v>
      </c>
      <c r="S21" s="52">
        <f t="shared" si="22"/>
        <v>-320000</v>
      </c>
      <c r="T21" s="52">
        <f t="shared" si="31"/>
        <v>33750</v>
      </c>
      <c r="U21" s="52">
        <f t="shared" ref="U21:AC21" si="33">T21*(1+$T$4)</f>
        <v>34762.5</v>
      </c>
      <c r="V21" s="52">
        <f t="shared" si="33"/>
        <v>35805.375</v>
      </c>
      <c r="W21" s="52">
        <f t="shared" si="33"/>
        <v>36879.53625</v>
      </c>
      <c r="X21" s="52">
        <f t="shared" si="33"/>
        <v>37985.92234</v>
      </c>
      <c r="Y21" s="52">
        <f t="shared" si="33"/>
        <v>39125.50001</v>
      </c>
      <c r="Z21" s="52">
        <f t="shared" si="33"/>
        <v>40299.26501</v>
      </c>
      <c r="AA21" s="52">
        <f t="shared" si="33"/>
        <v>41508.24296</v>
      </c>
      <c r="AB21" s="52">
        <f t="shared" si="33"/>
        <v>42753.49025</v>
      </c>
      <c r="AC21" s="52">
        <f t="shared" si="33"/>
        <v>44036.09495</v>
      </c>
      <c r="AD21" s="52">
        <f t="shared" si="25"/>
        <v>559069.2138</v>
      </c>
      <c r="AE21" s="53">
        <f t="shared" si="26"/>
        <v>0.1438551927</v>
      </c>
      <c r="AF21" s="54">
        <f t="shared" si="27"/>
        <v>9.481481481</v>
      </c>
      <c r="AG21" s="55"/>
      <c r="AH21" s="8"/>
    </row>
    <row r="22">
      <c r="A22" s="1"/>
      <c r="B22" s="41" t="s">
        <v>117</v>
      </c>
      <c r="C22" s="3" t="s">
        <v>118</v>
      </c>
      <c r="D22" s="41" t="s">
        <v>42</v>
      </c>
      <c r="E22" s="41" t="s">
        <v>119</v>
      </c>
      <c r="F22" s="47" t="s">
        <v>53</v>
      </c>
      <c r="G22" s="44">
        <v>25.0</v>
      </c>
      <c r="H22" s="44">
        <f t="shared" si="18"/>
        <v>20.83333333</v>
      </c>
      <c r="I22" s="45" t="s">
        <v>45</v>
      </c>
      <c r="J22" s="9"/>
      <c r="K22" s="47" t="s">
        <v>54</v>
      </c>
      <c r="L22" s="48">
        <v>10.0</v>
      </c>
      <c r="M22" s="49" t="s">
        <v>112</v>
      </c>
      <c r="N22" s="57" t="s">
        <v>120</v>
      </c>
      <c r="O22" s="51">
        <f>H22*1000*$G$2</f>
        <v>28125</v>
      </c>
      <c r="P22" s="52">
        <f t="shared" si="19"/>
        <v>250000</v>
      </c>
      <c r="Q22" s="52">
        <f t="shared" si="20"/>
        <v>278125</v>
      </c>
      <c r="R22" s="52">
        <f t="shared" si="21"/>
        <v>361562.5</v>
      </c>
      <c r="S22" s="52">
        <f t="shared" si="22"/>
        <v>-278125</v>
      </c>
      <c r="T22" s="52">
        <f t="shared" si="31"/>
        <v>28125</v>
      </c>
      <c r="U22" s="52">
        <f t="shared" ref="U22:AC22" si="34">T22*(1+$T$4)</f>
        <v>28968.75</v>
      </c>
      <c r="V22" s="52">
        <f t="shared" si="34"/>
        <v>29837.8125</v>
      </c>
      <c r="W22" s="52">
        <f t="shared" si="34"/>
        <v>30732.94688</v>
      </c>
      <c r="X22" s="52">
        <f t="shared" si="34"/>
        <v>31654.93528</v>
      </c>
      <c r="Y22" s="52">
        <f t="shared" si="34"/>
        <v>32604.58334</v>
      </c>
      <c r="Z22" s="52">
        <f t="shared" si="34"/>
        <v>33582.72084</v>
      </c>
      <c r="AA22" s="52">
        <f t="shared" si="34"/>
        <v>34590.20247</v>
      </c>
      <c r="AB22" s="52">
        <f t="shared" si="34"/>
        <v>35627.90854</v>
      </c>
      <c r="AC22" s="52">
        <f t="shared" si="34"/>
        <v>36696.7458</v>
      </c>
      <c r="AD22" s="52">
        <f t="shared" si="25"/>
        <v>485909.7659</v>
      </c>
      <c r="AE22" s="53">
        <f t="shared" si="26"/>
        <v>0.1399120189</v>
      </c>
      <c r="AF22" s="54">
        <f t="shared" si="27"/>
        <v>9.888888889</v>
      </c>
      <c r="AG22" s="55"/>
      <c r="AH22" s="8"/>
    </row>
    <row r="23">
      <c r="A23" s="1"/>
      <c r="B23" s="41" t="s">
        <v>121</v>
      </c>
      <c r="C23" s="3" t="s">
        <v>122</v>
      </c>
      <c r="D23" s="41" t="s">
        <v>42</v>
      </c>
      <c r="E23" s="41" t="s">
        <v>123</v>
      </c>
      <c r="F23" s="47" t="s">
        <v>53</v>
      </c>
      <c r="G23" s="44">
        <v>135.0</v>
      </c>
      <c r="H23" s="44">
        <f t="shared" si="18"/>
        <v>112.5</v>
      </c>
      <c r="I23" s="45" t="s">
        <v>45</v>
      </c>
      <c r="J23" s="1"/>
      <c r="K23" s="47" t="s">
        <v>59</v>
      </c>
      <c r="L23" s="48">
        <v>15.0</v>
      </c>
      <c r="M23" s="49" t="s">
        <v>112</v>
      </c>
      <c r="N23" s="57" t="s">
        <v>124</v>
      </c>
      <c r="O23" s="51">
        <f>5000*$G$2*L23</f>
        <v>101250</v>
      </c>
      <c r="P23" s="52">
        <f t="shared" si="19"/>
        <v>1350000</v>
      </c>
      <c r="Q23" s="52">
        <f t="shared" si="20"/>
        <v>1451250</v>
      </c>
      <c r="R23" s="52">
        <f t="shared" si="21"/>
        <v>1886625</v>
      </c>
      <c r="S23" s="52">
        <f t="shared" si="22"/>
        <v>-1451250</v>
      </c>
      <c r="T23" s="52">
        <f t="shared" si="31"/>
        <v>151875</v>
      </c>
      <c r="U23" s="52">
        <f t="shared" ref="U23:AC23" si="35">T23*(1+$T$4)</f>
        <v>156431.25</v>
      </c>
      <c r="V23" s="52">
        <f t="shared" si="35"/>
        <v>161124.1875</v>
      </c>
      <c r="W23" s="52">
        <f t="shared" si="35"/>
        <v>165957.9131</v>
      </c>
      <c r="X23" s="52">
        <f t="shared" si="35"/>
        <v>170936.6505</v>
      </c>
      <c r="Y23" s="52">
        <f t="shared" si="35"/>
        <v>176064.75</v>
      </c>
      <c r="Z23" s="52">
        <f t="shared" si="35"/>
        <v>181346.6925</v>
      </c>
      <c r="AA23" s="52">
        <f t="shared" si="35"/>
        <v>186787.0933</v>
      </c>
      <c r="AB23" s="52">
        <f t="shared" si="35"/>
        <v>192390.7061</v>
      </c>
      <c r="AC23" s="52">
        <f t="shared" si="35"/>
        <v>198162.4273</v>
      </c>
      <c r="AD23" s="52">
        <f t="shared" si="25"/>
        <v>2535466.239</v>
      </c>
      <c r="AE23" s="53">
        <f t="shared" si="26"/>
        <v>0.1431123205</v>
      </c>
      <c r="AF23" s="54">
        <f t="shared" si="27"/>
        <v>9.555555556</v>
      </c>
      <c r="AG23" s="55"/>
      <c r="AH23" s="8"/>
    </row>
    <row r="24">
      <c r="A24" s="1"/>
      <c r="B24" s="41" t="s">
        <v>125</v>
      </c>
      <c r="C24" s="3" t="s">
        <v>126</v>
      </c>
      <c r="D24" s="41" t="s">
        <v>42</v>
      </c>
      <c r="E24" s="41" t="s">
        <v>127</v>
      </c>
      <c r="F24" s="47" t="s">
        <v>53</v>
      </c>
      <c r="G24" s="44">
        <v>200.0</v>
      </c>
      <c r="H24" s="44">
        <f t="shared" si="18"/>
        <v>166.6666667</v>
      </c>
      <c r="I24" s="45" t="s">
        <v>45</v>
      </c>
      <c r="J24" s="1"/>
      <c r="K24" s="47" t="s">
        <v>59</v>
      </c>
      <c r="L24" s="48">
        <v>40.0</v>
      </c>
      <c r="M24" s="49" t="s">
        <v>112</v>
      </c>
      <c r="N24" s="57" t="s">
        <v>124</v>
      </c>
      <c r="O24" s="51">
        <f>2000*$G$2*L24</f>
        <v>108000</v>
      </c>
      <c r="P24" s="52">
        <f t="shared" si="19"/>
        <v>2000000</v>
      </c>
      <c r="Q24" s="52">
        <f t="shared" si="20"/>
        <v>2108000</v>
      </c>
      <c r="R24" s="52">
        <f t="shared" si="21"/>
        <v>2740400</v>
      </c>
      <c r="S24" s="52">
        <f t="shared" si="22"/>
        <v>-2108000</v>
      </c>
      <c r="T24" s="52">
        <f t="shared" si="31"/>
        <v>225000</v>
      </c>
      <c r="U24" s="52">
        <f t="shared" ref="U24:AC24" si="36">T24*(1+$T$4)</f>
        <v>231750</v>
      </c>
      <c r="V24" s="52">
        <f t="shared" si="36"/>
        <v>238702.5</v>
      </c>
      <c r="W24" s="52">
        <f t="shared" si="36"/>
        <v>245863.575</v>
      </c>
      <c r="X24" s="52">
        <f t="shared" si="36"/>
        <v>253239.4823</v>
      </c>
      <c r="Y24" s="52">
        <f t="shared" si="36"/>
        <v>260836.6667</v>
      </c>
      <c r="Z24" s="52">
        <f t="shared" si="36"/>
        <v>268661.7667</v>
      </c>
      <c r="AA24" s="52">
        <f t="shared" si="36"/>
        <v>276721.6197</v>
      </c>
      <c r="AB24" s="52">
        <f t="shared" si="36"/>
        <v>285023.2683</v>
      </c>
      <c r="AC24" s="52">
        <f t="shared" si="36"/>
        <v>293573.9664</v>
      </c>
      <c r="AD24" s="52">
        <f t="shared" si="25"/>
        <v>3682868.446</v>
      </c>
      <c r="AE24" s="53">
        <f t="shared" si="26"/>
        <v>0.1450076941</v>
      </c>
      <c r="AF24" s="54">
        <f t="shared" si="27"/>
        <v>9.368888889</v>
      </c>
      <c r="AG24" s="55"/>
      <c r="AH24" s="8"/>
    </row>
    <row r="25">
      <c r="A25" s="1"/>
      <c r="B25" s="41" t="s">
        <v>128</v>
      </c>
      <c r="C25" s="3" t="s">
        <v>129</v>
      </c>
      <c r="D25" s="41" t="s">
        <v>42</v>
      </c>
      <c r="E25" s="41" t="s">
        <v>130</v>
      </c>
      <c r="F25" s="47" t="s">
        <v>53</v>
      </c>
      <c r="G25" s="44">
        <v>60.0</v>
      </c>
      <c r="H25" s="44">
        <f t="shared" si="18"/>
        <v>50</v>
      </c>
      <c r="I25" s="45" t="s">
        <v>45</v>
      </c>
      <c r="J25" s="1"/>
      <c r="K25" s="47" t="s">
        <v>59</v>
      </c>
      <c r="L25" s="48">
        <f>13884/4047</f>
        <v>3.4306894</v>
      </c>
      <c r="M25" s="49" t="s">
        <v>112</v>
      </c>
      <c r="N25" s="57" t="s">
        <v>124</v>
      </c>
      <c r="O25" s="51">
        <f>6000*$G$2*L25</f>
        <v>27788.58414</v>
      </c>
      <c r="P25" s="52">
        <f t="shared" si="19"/>
        <v>600000</v>
      </c>
      <c r="Q25" s="52">
        <f t="shared" si="20"/>
        <v>627788.5841</v>
      </c>
      <c r="R25" s="52">
        <f t="shared" si="21"/>
        <v>816125.1594</v>
      </c>
      <c r="S25" s="52">
        <f t="shared" si="22"/>
        <v>-627788.5841</v>
      </c>
      <c r="T25" s="52">
        <f t="shared" si="31"/>
        <v>67500</v>
      </c>
      <c r="U25" s="52">
        <f t="shared" ref="U25:AC25" si="37">T25*(1+$T$4)</f>
        <v>69525</v>
      </c>
      <c r="V25" s="52">
        <f t="shared" si="37"/>
        <v>71610.75</v>
      </c>
      <c r="W25" s="52">
        <f t="shared" si="37"/>
        <v>73759.0725</v>
      </c>
      <c r="X25" s="52">
        <f t="shared" si="37"/>
        <v>75971.84468</v>
      </c>
      <c r="Y25" s="52">
        <f t="shared" si="37"/>
        <v>78251.00002</v>
      </c>
      <c r="Z25" s="52">
        <f t="shared" si="37"/>
        <v>80598.53002</v>
      </c>
      <c r="AA25" s="52">
        <f t="shared" si="37"/>
        <v>83016.48592</v>
      </c>
      <c r="AB25" s="52">
        <f t="shared" si="37"/>
        <v>85506.98049</v>
      </c>
      <c r="AC25" s="52">
        <f t="shared" si="37"/>
        <v>88072.18991</v>
      </c>
      <c r="AD25" s="52">
        <f t="shared" si="25"/>
        <v>1096803.969</v>
      </c>
      <c r="AE25" s="53">
        <f t="shared" si="26"/>
        <v>0.1457211022</v>
      </c>
      <c r="AF25" s="54">
        <f t="shared" si="27"/>
        <v>9.300571617</v>
      </c>
      <c r="AG25" s="55"/>
      <c r="AH25" s="8"/>
    </row>
    <row r="26">
      <c r="A26" s="1"/>
      <c r="B26" s="41" t="s">
        <v>131</v>
      </c>
      <c r="C26" s="3" t="s">
        <v>132</v>
      </c>
      <c r="D26" s="41" t="s">
        <v>42</v>
      </c>
      <c r="E26" s="41" t="s">
        <v>133</v>
      </c>
      <c r="F26" s="47" t="s">
        <v>53</v>
      </c>
      <c r="G26" s="44">
        <v>275.0</v>
      </c>
      <c r="H26" s="44">
        <f t="shared" si="18"/>
        <v>229.1666667</v>
      </c>
      <c r="I26" s="45" t="s">
        <v>45</v>
      </c>
      <c r="J26" s="1"/>
      <c r="K26" s="47" t="s">
        <v>59</v>
      </c>
      <c r="L26" s="48">
        <f>46.8/$K$3</f>
        <v>115.6412157</v>
      </c>
      <c r="M26" s="49" t="s">
        <v>112</v>
      </c>
      <c r="N26" s="57" t="s">
        <v>124</v>
      </c>
      <c r="O26" s="51">
        <f>3000*$G$2*L26</f>
        <v>468346.9236</v>
      </c>
      <c r="P26" s="52">
        <f t="shared" si="19"/>
        <v>2750000</v>
      </c>
      <c r="Q26" s="52">
        <f t="shared" si="20"/>
        <v>3218346.924</v>
      </c>
      <c r="R26" s="52">
        <f t="shared" si="21"/>
        <v>4183851.001</v>
      </c>
      <c r="S26" s="52">
        <f t="shared" si="22"/>
        <v>-3218346.924</v>
      </c>
      <c r="T26" s="52">
        <f t="shared" si="31"/>
        <v>309375</v>
      </c>
      <c r="U26" s="52">
        <f t="shared" ref="U26:AC26" si="38">T26*(1+$T$4)</f>
        <v>318656.25</v>
      </c>
      <c r="V26" s="52">
        <f t="shared" si="38"/>
        <v>328215.9375</v>
      </c>
      <c r="W26" s="52">
        <f t="shared" si="38"/>
        <v>338062.4156</v>
      </c>
      <c r="X26" s="52">
        <f t="shared" si="38"/>
        <v>348204.2881</v>
      </c>
      <c r="Y26" s="52">
        <f t="shared" si="38"/>
        <v>358650.4167</v>
      </c>
      <c r="Z26" s="52">
        <f t="shared" si="38"/>
        <v>369409.9292</v>
      </c>
      <c r="AA26" s="52">
        <f t="shared" si="38"/>
        <v>380492.2271</v>
      </c>
      <c r="AB26" s="52">
        <f t="shared" si="38"/>
        <v>391906.9939</v>
      </c>
      <c r="AC26" s="52">
        <f t="shared" si="38"/>
        <v>403664.2037</v>
      </c>
      <c r="AD26" s="52">
        <f t="shared" si="25"/>
        <v>5622745.889</v>
      </c>
      <c r="AE26" s="53">
        <f t="shared" si="26"/>
        <v>0.1353941653</v>
      </c>
      <c r="AF26" s="54">
        <f t="shared" si="27"/>
        <v>10.40273753</v>
      </c>
      <c r="AG26" s="55"/>
      <c r="AH26" s="8"/>
    </row>
    <row r="27">
      <c r="A27" s="1"/>
      <c r="B27" s="41" t="s">
        <v>134</v>
      </c>
      <c r="C27" s="3" t="s">
        <v>135</v>
      </c>
      <c r="D27" s="41" t="s">
        <v>42</v>
      </c>
      <c r="E27" s="41" t="s">
        <v>136</v>
      </c>
      <c r="F27" s="1"/>
      <c r="G27" s="44">
        <v>300.0</v>
      </c>
      <c r="H27" s="44">
        <f t="shared" si="18"/>
        <v>250</v>
      </c>
      <c r="I27" s="45" t="s">
        <v>45</v>
      </c>
      <c r="J27" s="1"/>
      <c r="K27" s="47" t="s">
        <v>59</v>
      </c>
      <c r="L27" s="48">
        <v>133.0</v>
      </c>
      <c r="M27" s="49" t="s">
        <v>137</v>
      </c>
      <c r="N27" s="57" t="s">
        <v>124</v>
      </c>
      <c r="O27" s="51">
        <f>6000*$G$2*L27</f>
        <v>1077300</v>
      </c>
      <c r="P27" s="52">
        <f t="shared" si="19"/>
        <v>3000000</v>
      </c>
      <c r="Q27" s="52">
        <f t="shared" si="20"/>
        <v>4077300</v>
      </c>
      <c r="R27" s="52">
        <f t="shared" si="21"/>
        <v>5300490</v>
      </c>
      <c r="S27" s="52">
        <f t="shared" si="22"/>
        <v>-4077300</v>
      </c>
      <c r="T27" s="52">
        <f t="shared" si="31"/>
        <v>337500</v>
      </c>
      <c r="U27" s="52">
        <f t="shared" ref="U27:AC27" si="39">T27*(1+$T$4)</f>
        <v>347625</v>
      </c>
      <c r="V27" s="52">
        <f t="shared" si="39"/>
        <v>358053.75</v>
      </c>
      <c r="W27" s="52">
        <f t="shared" si="39"/>
        <v>368795.3625</v>
      </c>
      <c r="X27" s="52">
        <f t="shared" si="39"/>
        <v>379859.2234</v>
      </c>
      <c r="Y27" s="52">
        <f t="shared" si="39"/>
        <v>391255.0001</v>
      </c>
      <c r="Z27" s="52">
        <f t="shared" si="39"/>
        <v>402992.6501</v>
      </c>
      <c r="AA27" s="52">
        <f t="shared" si="39"/>
        <v>415082.4296</v>
      </c>
      <c r="AB27" s="52">
        <f t="shared" si="39"/>
        <v>427534.9025</v>
      </c>
      <c r="AC27" s="52">
        <f t="shared" si="39"/>
        <v>440360.9495</v>
      </c>
      <c r="AD27" s="52">
        <f t="shared" si="25"/>
        <v>7123415.33</v>
      </c>
      <c r="AE27" s="53">
        <f t="shared" si="26"/>
        <v>0.1233984499</v>
      </c>
      <c r="AF27" s="54">
        <f t="shared" si="27"/>
        <v>12.08088889</v>
      </c>
      <c r="AG27" s="55"/>
      <c r="AH27" s="8"/>
    </row>
    <row r="28">
      <c r="A28" s="1"/>
      <c r="B28" s="41" t="s">
        <v>138</v>
      </c>
      <c r="C28" s="3" t="s">
        <v>139</v>
      </c>
      <c r="D28" s="41" t="s">
        <v>42</v>
      </c>
      <c r="E28" s="41" t="s">
        <v>140</v>
      </c>
      <c r="F28" s="1"/>
      <c r="G28" s="44">
        <v>20.0</v>
      </c>
      <c r="H28" s="44">
        <f t="shared" si="18"/>
        <v>16.66666667</v>
      </c>
      <c r="I28" s="45" t="s">
        <v>45</v>
      </c>
      <c r="J28" s="1"/>
      <c r="K28" s="47" t="s">
        <v>54</v>
      </c>
      <c r="L28" s="48">
        <v>8.0</v>
      </c>
      <c r="M28" s="49" t="s">
        <v>137</v>
      </c>
      <c r="N28" s="57" t="s">
        <v>141</v>
      </c>
      <c r="O28" s="51">
        <f t="shared" ref="O28:O29" si="41">H28*1000/$G$2</f>
        <v>12345.67901</v>
      </c>
      <c r="P28" s="52">
        <f t="shared" si="19"/>
        <v>200000</v>
      </c>
      <c r="Q28" s="52">
        <f t="shared" si="20"/>
        <v>212345.679</v>
      </c>
      <c r="R28" s="52">
        <f t="shared" si="21"/>
        <v>276049.3827</v>
      </c>
      <c r="S28" s="52">
        <f t="shared" si="22"/>
        <v>-212345.679</v>
      </c>
      <c r="T28" s="52">
        <f t="shared" si="31"/>
        <v>22500</v>
      </c>
      <c r="U28" s="52">
        <f t="shared" ref="U28:AC28" si="40">T28*(1+$T$4)</f>
        <v>23175</v>
      </c>
      <c r="V28" s="52">
        <f t="shared" si="40"/>
        <v>23870.25</v>
      </c>
      <c r="W28" s="52">
        <f t="shared" si="40"/>
        <v>24586.3575</v>
      </c>
      <c r="X28" s="52">
        <f t="shared" si="40"/>
        <v>25323.94823</v>
      </c>
      <c r="Y28" s="52">
        <f t="shared" si="40"/>
        <v>26083.66667</v>
      </c>
      <c r="Z28" s="52">
        <f t="shared" si="40"/>
        <v>26866.17667</v>
      </c>
      <c r="AA28" s="52">
        <f t="shared" si="40"/>
        <v>27672.16197</v>
      </c>
      <c r="AB28" s="52">
        <f t="shared" si="40"/>
        <v>28502.32683</v>
      </c>
      <c r="AC28" s="52">
        <f t="shared" si="40"/>
        <v>29357.39664</v>
      </c>
      <c r="AD28" s="52">
        <f t="shared" si="25"/>
        <v>370987.2869</v>
      </c>
      <c r="AE28" s="53">
        <f t="shared" si="26"/>
        <v>0.1443011197</v>
      </c>
      <c r="AF28" s="54">
        <f t="shared" si="27"/>
        <v>9.437585734</v>
      </c>
      <c r="AG28" s="55"/>
      <c r="AH28" s="8"/>
    </row>
    <row r="29">
      <c r="A29" s="1"/>
      <c r="B29" s="41" t="s">
        <v>142</v>
      </c>
      <c r="C29" s="3" t="s">
        <v>143</v>
      </c>
      <c r="D29" s="41" t="s">
        <v>42</v>
      </c>
      <c r="E29" s="41" t="s">
        <v>140</v>
      </c>
      <c r="F29" s="1"/>
      <c r="G29" s="44">
        <v>20.0</v>
      </c>
      <c r="H29" s="44">
        <f t="shared" si="18"/>
        <v>16.66666667</v>
      </c>
      <c r="I29" s="45" t="s">
        <v>45</v>
      </c>
      <c r="J29" s="1"/>
      <c r="K29" s="47" t="s">
        <v>54</v>
      </c>
      <c r="L29" s="48">
        <v>16.0</v>
      </c>
      <c r="M29" s="49" t="s">
        <v>137</v>
      </c>
      <c r="N29" s="57" t="s">
        <v>141</v>
      </c>
      <c r="O29" s="51">
        <f t="shared" si="41"/>
        <v>12345.67901</v>
      </c>
      <c r="P29" s="52">
        <f t="shared" si="19"/>
        <v>200000</v>
      </c>
      <c r="Q29" s="52">
        <f t="shared" si="20"/>
        <v>212345.679</v>
      </c>
      <c r="R29" s="52">
        <f t="shared" si="21"/>
        <v>276049.3827</v>
      </c>
      <c r="S29" s="52">
        <f t="shared" si="22"/>
        <v>-212345.679</v>
      </c>
      <c r="T29" s="52">
        <f t="shared" si="31"/>
        <v>22500</v>
      </c>
      <c r="U29" s="52">
        <f t="shared" ref="U29:AC29" si="42">T29*(1+$T$4)</f>
        <v>23175</v>
      </c>
      <c r="V29" s="52">
        <f t="shared" si="42"/>
        <v>23870.25</v>
      </c>
      <c r="W29" s="52">
        <f t="shared" si="42"/>
        <v>24586.3575</v>
      </c>
      <c r="X29" s="52">
        <f t="shared" si="42"/>
        <v>25323.94823</v>
      </c>
      <c r="Y29" s="52">
        <f t="shared" si="42"/>
        <v>26083.66667</v>
      </c>
      <c r="Z29" s="52">
        <f t="shared" si="42"/>
        <v>26866.17667</v>
      </c>
      <c r="AA29" s="52">
        <f t="shared" si="42"/>
        <v>27672.16197</v>
      </c>
      <c r="AB29" s="52">
        <f t="shared" si="42"/>
        <v>28502.32683</v>
      </c>
      <c r="AC29" s="52">
        <f t="shared" si="42"/>
        <v>29357.39664</v>
      </c>
      <c r="AD29" s="52">
        <f t="shared" si="25"/>
        <v>370987.2869</v>
      </c>
      <c r="AE29" s="53">
        <f t="shared" si="26"/>
        <v>0.1443011197</v>
      </c>
      <c r="AF29" s="54">
        <f t="shared" si="27"/>
        <v>9.437585734</v>
      </c>
      <c r="AG29" s="55"/>
      <c r="AH29" s="8"/>
    </row>
    <row r="30">
      <c r="A30" s="1"/>
      <c r="B30" s="41" t="s">
        <v>144</v>
      </c>
      <c r="C30" s="3" t="s">
        <v>145</v>
      </c>
      <c r="D30" s="41" t="s">
        <v>42</v>
      </c>
      <c r="E30" s="41" t="s">
        <v>146</v>
      </c>
      <c r="F30" s="1"/>
      <c r="G30" s="44">
        <v>450.0</v>
      </c>
      <c r="H30" s="44">
        <f t="shared" si="18"/>
        <v>375</v>
      </c>
      <c r="I30" s="45" t="s">
        <v>45</v>
      </c>
      <c r="J30" s="1"/>
      <c r="K30" s="47" t="s">
        <v>46</v>
      </c>
      <c r="L30" s="48">
        <f>33.7/$K$3</f>
        <v>83.27155918</v>
      </c>
      <c r="M30" s="49" t="s">
        <v>137</v>
      </c>
      <c r="N30" s="57" t="s">
        <v>124</v>
      </c>
      <c r="O30" s="51">
        <f>3000*$G$2*L30</f>
        <v>337249.8147</v>
      </c>
      <c r="P30" s="52">
        <f t="shared" si="19"/>
        <v>4500000</v>
      </c>
      <c r="Q30" s="52">
        <f t="shared" si="20"/>
        <v>4837249.815</v>
      </c>
      <c r="R30" s="52">
        <f t="shared" si="21"/>
        <v>6288424.759</v>
      </c>
      <c r="S30" s="52">
        <f t="shared" si="22"/>
        <v>-4837249.815</v>
      </c>
      <c r="T30" s="52">
        <f t="shared" si="31"/>
        <v>506250</v>
      </c>
      <c r="U30" s="52">
        <f t="shared" ref="U30:AC30" si="43">T30*(1+$T$4)</f>
        <v>521437.5</v>
      </c>
      <c r="V30" s="52">
        <f t="shared" si="43"/>
        <v>537080.625</v>
      </c>
      <c r="W30" s="52">
        <f t="shared" si="43"/>
        <v>553193.0438</v>
      </c>
      <c r="X30" s="52">
        <f t="shared" si="43"/>
        <v>569788.8351</v>
      </c>
      <c r="Y30" s="52">
        <f t="shared" si="43"/>
        <v>586882.5001</v>
      </c>
      <c r="Z30" s="52">
        <f t="shared" si="43"/>
        <v>604488.9751</v>
      </c>
      <c r="AA30" s="52">
        <f t="shared" si="43"/>
        <v>622623.6444</v>
      </c>
      <c r="AB30" s="52">
        <f t="shared" si="43"/>
        <v>641302.3537</v>
      </c>
      <c r="AC30" s="52">
        <f t="shared" si="43"/>
        <v>660541.4243</v>
      </c>
      <c r="AD30" s="52">
        <f t="shared" si="25"/>
        <v>8451117.034</v>
      </c>
      <c r="AE30" s="53">
        <f t="shared" si="26"/>
        <v>0.1431172371</v>
      </c>
      <c r="AF30" s="54">
        <f t="shared" si="27"/>
        <v>9.555061362</v>
      </c>
      <c r="AG30" s="55"/>
      <c r="AH30" s="8"/>
    </row>
    <row r="31">
      <c r="A31" s="1"/>
      <c r="B31" s="41" t="s">
        <v>147</v>
      </c>
      <c r="C31" s="3" t="s">
        <v>148</v>
      </c>
      <c r="D31" s="41" t="s">
        <v>42</v>
      </c>
      <c r="E31" s="41" t="s">
        <v>149</v>
      </c>
      <c r="F31" s="1"/>
      <c r="G31" s="44">
        <v>400.0</v>
      </c>
      <c r="H31" s="44">
        <f t="shared" si="18"/>
        <v>333.3333333</v>
      </c>
      <c r="I31" s="45" t="s">
        <v>45</v>
      </c>
      <c r="J31" s="1"/>
      <c r="K31" s="47" t="s">
        <v>46</v>
      </c>
      <c r="L31" s="48">
        <f>51.17/$K$3</f>
        <v>126.4393378</v>
      </c>
      <c r="M31" s="49" t="s">
        <v>137</v>
      </c>
      <c r="N31" s="57" t="s">
        <v>124</v>
      </c>
      <c r="O31" s="51">
        <f t="shared" ref="O31:O32" si="45">8000*$G$2*L31</f>
        <v>1365544.848</v>
      </c>
      <c r="P31" s="52">
        <f t="shared" si="19"/>
        <v>4000000</v>
      </c>
      <c r="Q31" s="52">
        <f t="shared" si="20"/>
        <v>5365544.848</v>
      </c>
      <c r="R31" s="52">
        <f t="shared" si="21"/>
        <v>6975208.302</v>
      </c>
      <c r="S31" s="52">
        <f t="shared" si="22"/>
        <v>-5365544.848</v>
      </c>
      <c r="T31" s="52">
        <f t="shared" si="31"/>
        <v>450000</v>
      </c>
      <c r="U31" s="52">
        <f t="shared" ref="U31:AC31" si="44">T31*(1+$T$4)</f>
        <v>463500</v>
      </c>
      <c r="V31" s="52">
        <f t="shared" si="44"/>
        <v>477405</v>
      </c>
      <c r="W31" s="52">
        <f t="shared" si="44"/>
        <v>491727.15</v>
      </c>
      <c r="X31" s="52">
        <f t="shared" si="44"/>
        <v>506478.9645</v>
      </c>
      <c r="Y31" s="52">
        <f t="shared" si="44"/>
        <v>521673.3334</v>
      </c>
      <c r="Z31" s="52">
        <f t="shared" si="44"/>
        <v>537323.5334</v>
      </c>
      <c r="AA31" s="52">
        <f t="shared" si="44"/>
        <v>553443.2394</v>
      </c>
      <c r="AB31" s="52">
        <f t="shared" si="44"/>
        <v>570046.5366</v>
      </c>
      <c r="AC31" s="52">
        <f t="shared" si="44"/>
        <v>587147.9327</v>
      </c>
      <c r="AD31" s="52">
        <f t="shared" si="25"/>
        <v>9374096.687</v>
      </c>
      <c r="AE31" s="53">
        <f t="shared" si="26"/>
        <v>0.1243758483</v>
      </c>
      <c r="AF31" s="54">
        <f t="shared" si="27"/>
        <v>11.923433</v>
      </c>
      <c r="AG31" s="55"/>
      <c r="AH31" s="8"/>
    </row>
    <row r="32">
      <c r="A32" s="1"/>
      <c r="B32" s="41" t="s">
        <v>150</v>
      </c>
      <c r="C32" s="3" t="s">
        <v>151</v>
      </c>
      <c r="D32" s="41" t="s">
        <v>42</v>
      </c>
      <c r="E32" s="41" t="s">
        <v>152</v>
      </c>
      <c r="F32" s="7"/>
      <c r="G32" s="44">
        <v>1400.0</v>
      </c>
      <c r="H32" s="44">
        <f t="shared" si="18"/>
        <v>1166.666667</v>
      </c>
      <c r="I32" s="45" t="s">
        <v>45</v>
      </c>
      <c r="J32" s="1"/>
      <c r="K32" s="47" t="s">
        <v>46</v>
      </c>
      <c r="L32" s="48">
        <v>420.0</v>
      </c>
      <c r="M32" s="49" t="s">
        <v>137</v>
      </c>
      <c r="N32" s="57" t="s">
        <v>124</v>
      </c>
      <c r="O32" s="51">
        <f t="shared" si="45"/>
        <v>4536000</v>
      </c>
      <c r="P32" s="52">
        <f t="shared" si="19"/>
        <v>14000000</v>
      </c>
      <c r="Q32" s="52">
        <f t="shared" si="20"/>
        <v>18536000</v>
      </c>
      <c r="R32" s="52">
        <f t="shared" si="21"/>
        <v>24096800</v>
      </c>
      <c r="S32" s="52">
        <f t="shared" si="22"/>
        <v>-18536000</v>
      </c>
      <c r="T32" s="52">
        <f t="shared" si="31"/>
        <v>1575000</v>
      </c>
      <c r="U32" s="52">
        <f t="shared" ref="U32:AC32" si="46">T32*(1+$T$4)</f>
        <v>1622250</v>
      </c>
      <c r="V32" s="52">
        <f t="shared" si="46"/>
        <v>1670917.5</v>
      </c>
      <c r="W32" s="52">
        <f t="shared" si="46"/>
        <v>1721045.025</v>
      </c>
      <c r="X32" s="52">
        <f t="shared" si="46"/>
        <v>1772676.376</v>
      </c>
      <c r="Y32" s="52">
        <f t="shared" si="46"/>
        <v>1825856.667</v>
      </c>
      <c r="Z32" s="52">
        <f t="shared" si="46"/>
        <v>1880632.367</v>
      </c>
      <c r="AA32" s="52">
        <f t="shared" si="46"/>
        <v>1937051.338</v>
      </c>
      <c r="AB32" s="52">
        <f t="shared" si="46"/>
        <v>1995162.878</v>
      </c>
      <c r="AC32" s="52">
        <f t="shared" si="46"/>
        <v>2055017.765</v>
      </c>
      <c r="AD32" s="52">
        <f t="shared" si="25"/>
        <v>32384084.21</v>
      </c>
      <c r="AE32" s="53">
        <f t="shared" si="26"/>
        <v>0.1253614415</v>
      </c>
      <c r="AF32" s="54">
        <f t="shared" si="27"/>
        <v>11.76888889</v>
      </c>
      <c r="AG32" s="55"/>
      <c r="AH32" s="8"/>
    </row>
    <row r="33">
      <c r="A33" s="1"/>
      <c r="B33" s="58" t="s">
        <v>153</v>
      </c>
      <c r="C33" s="3" t="s">
        <v>154</v>
      </c>
      <c r="D33" s="41" t="s">
        <v>42</v>
      </c>
      <c r="E33" s="58" t="s">
        <v>149</v>
      </c>
      <c r="F33" s="9"/>
      <c r="G33" s="64">
        <v>10.0</v>
      </c>
      <c r="H33" s="64">
        <f t="shared" si="18"/>
        <v>8.333333333</v>
      </c>
      <c r="I33" s="45" t="s">
        <v>45</v>
      </c>
      <c r="J33" s="9"/>
      <c r="K33" s="47" t="s">
        <v>54</v>
      </c>
      <c r="L33" s="59"/>
      <c r="M33" s="49" t="s">
        <v>137</v>
      </c>
      <c r="N33" s="57" t="s">
        <v>66</v>
      </c>
      <c r="O33" s="51">
        <f t="shared" ref="O33:O34" si="48">H33*1000/$G$3</f>
        <v>9689.922481</v>
      </c>
      <c r="P33" s="52">
        <f t="shared" si="19"/>
        <v>100000</v>
      </c>
      <c r="Q33" s="52">
        <f t="shared" si="20"/>
        <v>109689.9225</v>
      </c>
      <c r="R33" s="52">
        <f t="shared" si="21"/>
        <v>142596.8992</v>
      </c>
      <c r="S33" s="52">
        <f t="shared" si="22"/>
        <v>-109689.9225</v>
      </c>
      <c r="T33" s="52">
        <f t="shared" si="31"/>
        <v>11250</v>
      </c>
      <c r="U33" s="52">
        <f t="shared" ref="U33:AC33" si="47">T33*(1+$T$4)</f>
        <v>11587.5</v>
      </c>
      <c r="V33" s="52">
        <f t="shared" si="47"/>
        <v>11935.125</v>
      </c>
      <c r="W33" s="52">
        <f t="shared" si="47"/>
        <v>12293.17875</v>
      </c>
      <c r="X33" s="52">
        <f t="shared" si="47"/>
        <v>12661.97411</v>
      </c>
      <c r="Y33" s="52">
        <f t="shared" si="47"/>
        <v>13041.83334</v>
      </c>
      <c r="Z33" s="52">
        <f t="shared" si="47"/>
        <v>13433.08834</v>
      </c>
      <c r="AA33" s="52">
        <f t="shared" si="47"/>
        <v>13836.08099</v>
      </c>
      <c r="AB33" s="52">
        <f t="shared" si="47"/>
        <v>14251.16342</v>
      </c>
      <c r="AC33" s="52">
        <f t="shared" si="47"/>
        <v>14678.69832</v>
      </c>
      <c r="AD33" s="52">
        <f t="shared" si="25"/>
        <v>191638.3085</v>
      </c>
      <c r="AE33" s="53">
        <f t="shared" si="26"/>
        <v>0.1412158652</v>
      </c>
      <c r="AF33" s="54">
        <f t="shared" si="27"/>
        <v>9.750215332</v>
      </c>
      <c r="AG33" s="55"/>
      <c r="AH33" s="8"/>
    </row>
    <row r="34">
      <c r="A34" s="1"/>
      <c r="B34" s="58" t="s">
        <v>155</v>
      </c>
      <c r="C34" s="60" t="s">
        <v>156</v>
      </c>
      <c r="D34" s="58" t="s">
        <v>42</v>
      </c>
      <c r="E34" s="58" t="s">
        <v>157</v>
      </c>
      <c r="F34" s="9"/>
      <c r="G34" s="44">
        <v>518.0</v>
      </c>
      <c r="H34" s="44">
        <f t="shared" si="18"/>
        <v>431.6666667</v>
      </c>
      <c r="I34" s="45" t="s">
        <v>45</v>
      </c>
      <c r="J34" s="9"/>
      <c r="K34" s="47" t="s">
        <v>46</v>
      </c>
      <c r="L34" s="59"/>
      <c r="M34" s="49" t="s">
        <v>137</v>
      </c>
      <c r="N34" s="57" t="s">
        <v>108</v>
      </c>
      <c r="O34" s="51">
        <f t="shared" si="48"/>
        <v>501937.9845</v>
      </c>
      <c r="P34" s="52">
        <f t="shared" si="19"/>
        <v>5180000</v>
      </c>
      <c r="Q34" s="52">
        <f t="shared" si="20"/>
        <v>5681937.984</v>
      </c>
      <c r="R34" s="52">
        <f t="shared" si="21"/>
        <v>7386519.38</v>
      </c>
      <c r="S34" s="52">
        <f t="shared" si="22"/>
        <v>-5681937.984</v>
      </c>
      <c r="T34" s="52">
        <f t="shared" si="31"/>
        <v>582750</v>
      </c>
      <c r="U34" s="52">
        <f t="shared" ref="U34:AC34" si="49">T34*(1+$T$4)</f>
        <v>600232.5</v>
      </c>
      <c r="V34" s="52">
        <f t="shared" si="49"/>
        <v>618239.475</v>
      </c>
      <c r="W34" s="52">
        <f t="shared" si="49"/>
        <v>636786.6593</v>
      </c>
      <c r="X34" s="52">
        <f t="shared" si="49"/>
        <v>655890.259</v>
      </c>
      <c r="Y34" s="52">
        <f t="shared" si="49"/>
        <v>675566.9668</v>
      </c>
      <c r="Z34" s="52">
        <f t="shared" si="49"/>
        <v>695833.9758</v>
      </c>
      <c r="AA34" s="52">
        <f t="shared" si="49"/>
        <v>716708.9951</v>
      </c>
      <c r="AB34" s="52">
        <f t="shared" si="49"/>
        <v>738210.2649</v>
      </c>
      <c r="AC34" s="52">
        <f t="shared" si="49"/>
        <v>760356.5729</v>
      </c>
      <c r="AD34" s="52">
        <f t="shared" si="25"/>
        <v>9926864.381</v>
      </c>
      <c r="AE34" s="53">
        <f t="shared" si="26"/>
        <v>0.1412158652</v>
      </c>
      <c r="AF34" s="54">
        <f t="shared" si="27"/>
        <v>9.750215332</v>
      </c>
      <c r="AG34" s="55"/>
      <c r="AH34" s="8"/>
    </row>
    <row r="35">
      <c r="A35" s="1"/>
      <c r="B35" s="41" t="s">
        <v>158</v>
      </c>
      <c r="C35" s="3" t="s">
        <v>159</v>
      </c>
      <c r="D35" s="41" t="s">
        <v>160</v>
      </c>
      <c r="E35" s="41" t="s">
        <v>161</v>
      </c>
      <c r="F35" s="1"/>
      <c r="G35" s="44">
        <v>600.0</v>
      </c>
      <c r="H35" s="44">
        <f t="shared" si="18"/>
        <v>500</v>
      </c>
      <c r="I35" s="45" t="s">
        <v>45</v>
      </c>
      <c r="J35" s="9"/>
      <c r="K35" s="47" t="s">
        <v>46</v>
      </c>
      <c r="L35" s="48">
        <v>296.0</v>
      </c>
      <c r="M35" s="49" t="s">
        <v>162</v>
      </c>
      <c r="N35" s="57" t="s">
        <v>93</v>
      </c>
      <c r="O35" s="51">
        <v>30000.0</v>
      </c>
      <c r="P35" s="52">
        <f t="shared" si="19"/>
        <v>6000000</v>
      </c>
      <c r="Q35" s="52">
        <f t="shared" si="20"/>
        <v>6030000</v>
      </c>
      <c r="R35" s="52">
        <f t="shared" si="21"/>
        <v>7839000</v>
      </c>
      <c r="S35" s="52">
        <f t="shared" si="22"/>
        <v>-6030000</v>
      </c>
      <c r="T35" s="52">
        <f t="shared" si="31"/>
        <v>675000</v>
      </c>
      <c r="U35" s="52">
        <f t="shared" ref="U35:AC35" si="50">T35*(1+$T$4)</f>
        <v>695250</v>
      </c>
      <c r="V35" s="52">
        <f t="shared" si="50"/>
        <v>716107.5</v>
      </c>
      <c r="W35" s="52">
        <f t="shared" si="50"/>
        <v>737590.725</v>
      </c>
      <c r="X35" s="52">
        <f t="shared" si="50"/>
        <v>759718.4468</v>
      </c>
      <c r="Y35" s="52">
        <f t="shared" si="50"/>
        <v>782510.0002</v>
      </c>
      <c r="Z35" s="52">
        <f t="shared" si="50"/>
        <v>805985.3002</v>
      </c>
      <c r="AA35" s="52">
        <f t="shared" si="50"/>
        <v>830164.8592</v>
      </c>
      <c r="AB35" s="52">
        <f t="shared" si="50"/>
        <v>855069.8049</v>
      </c>
      <c r="AC35" s="52">
        <f t="shared" si="50"/>
        <v>880721.8991</v>
      </c>
      <c r="AD35" s="52">
        <f t="shared" si="25"/>
        <v>10534960.5</v>
      </c>
      <c r="AE35" s="53">
        <f t="shared" si="26"/>
        <v>0.1497501869</v>
      </c>
      <c r="AF35" s="54">
        <f t="shared" si="27"/>
        <v>8.933333333</v>
      </c>
      <c r="AG35" s="55"/>
      <c r="AH35" s="8"/>
    </row>
    <row r="36">
      <c r="A36" s="1"/>
      <c r="B36" s="41" t="s">
        <v>163</v>
      </c>
      <c r="C36" s="3" t="s">
        <v>164</v>
      </c>
      <c r="D36" s="41" t="s">
        <v>86</v>
      </c>
      <c r="E36" s="41" t="s">
        <v>165</v>
      </c>
      <c r="F36" s="1"/>
      <c r="G36" s="44">
        <v>500.0</v>
      </c>
      <c r="H36" s="44">
        <f t="shared" si="18"/>
        <v>416.6666667</v>
      </c>
      <c r="I36" s="45" t="s">
        <v>45</v>
      </c>
      <c r="J36" s="1"/>
      <c r="K36" s="47" t="s">
        <v>46</v>
      </c>
      <c r="L36" s="48">
        <v>244.0</v>
      </c>
      <c r="M36" s="49" t="s">
        <v>162</v>
      </c>
      <c r="N36" s="57" t="s">
        <v>78</v>
      </c>
      <c r="O36" s="51">
        <v>100000.0</v>
      </c>
      <c r="P36" s="52">
        <f t="shared" si="19"/>
        <v>5000000</v>
      </c>
      <c r="Q36" s="52">
        <f t="shared" si="20"/>
        <v>5100000</v>
      </c>
      <c r="R36" s="52">
        <f t="shared" si="21"/>
        <v>6630000</v>
      </c>
      <c r="S36" s="52">
        <f t="shared" si="22"/>
        <v>-5100000</v>
      </c>
      <c r="T36" s="52">
        <f t="shared" si="31"/>
        <v>562500</v>
      </c>
      <c r="U36" s="52">
        <f t="shared" ref="U36:AC36" si="51">T36*(1+$T$4)</f>
        <v>579375</v>
      </c>
      <c r="V36" s="52">
        <f t="shared" si="51"/>
        <v>596756.25</v>
      </c>
      <c r="W36" s="52">
        <f t="shared" si="51"/>
        <v>614658.9375</v>
      </c>
      <c r="X36" s="52">
        <f t="shared" si="51"/>
        <v>633098.7056</v>
      </c>
      <c r="Y36" s="52">
        <f t="shared" si="51"/>
        <v>652091.6668</v>
      </c>
      <c r="Z36" s="52">
        <f t="shared" si="51"/>
        <v>671654.4168</v>
      </c>
      <c r="AA36" s="52">
        <f t="shared" si="51"/>
        <v>691804.0493</v>
      </c>
      <c r="AB36" s="52">
        <f t="shared" si="51"/>
        <v>712558.1708</v>
      </c>
      <c r="AC36" s="52">
        <f t="shared" si="51"/>
        <v>733934.9159</v>
      </c>
      <c r="AD36" s="52">
        <f t="shared" si="25"/>
        <v>8910165.595</v>
      </c>
      <c r="AE36" s="53">
        <f t="shared" si="26"/>
        <v>0.1482481858</v>
      </c>
      <c r="AF36" s="54">
        <f t="shared" si="27"/>
        <v>9.066666667</v>
      </c>
      <c r="AG36" s="55"/>
      <c r="AH36" s="8"/>
    </row>
    <row r="37">
      <c r="A37" s="1"/>
      <c r="B37" s="41" t="s">
        <v>166</v>
      </c>
      <c r="C37" s="3" t="s">
        <v>167</v>
      </c>
      <c r="D37" s="41" t="s">
        <v>86</v>
      </c>
      <c r="E37" s="41" t="s">
        <v>168</v>
      </c>
      <c r="F37" s="1"/>
      <c r="G37" s="44">
        <v>300.0</v>
      </c>
      <c r="H37" s="44">
        <f t="shared" si="18"/>
        <v>250</v>
      </c>
      <c r="I37" s="45" t="s">
        <v>45</v>
      </c>
      <c r="J37" s="1"/>
      <c r="K37" s="47" t="s">
        <v>59</v>
      </c>
      <c r="L37" s="48">
        <v>244.0</v>
      </c>
      <c r="M37" s="49" t="s">
        <v>162</v>
      </c>
      <c r="N37" s="57" t="s">
        <v>78</v>
      </c>
      <c r="O37" s="51">
        <v>75000.0</v>
      </c>
      <c r="P37" s="52">
        <f t="shared" si="19"/>
        <v>3000000</v>
      </c>
      <c r="Q37" s="52">
        <f t="shared" si="20"/>
        <v>3075000</v>
      </c>
      <c r="R37" s="52">
        <f t="shared" si="21"/>
        <v>3997500</v>
      </c>
      <c r="S37" s="52">
        <f t="shared" si="22"/>
        <v>-3075000</v>
      </c>
      <c r="T37" s="52">
        <f t="shared" si="31"/>
        <v>337500</v>
      </c>
      <c r="U37" s="52">
        <f t="shared" ref="U37:AC37" si="52">T37*(1+$T$4)</f>
        <v>347625</v>
      </c>
      <c r="V37" s="52">
        <f t="shared" si="52"/>
        <v>358053.75</v>
      </c>
      <c r="W37" s="52">
        <f t="shared" si="52"/>
        <v>368795.3625</v>
      </c>
      <c r="X37" s="52">
        <f t="shared" si="52"/>
        <v>379859.2234</v>
      </c>
      <c r="Y37" s="52">
        <f t="shared" si="52"/>
        <v>391255.0001</v>
      </c>
      <c r="Z37" s="52">
        <f t="shared" si="52"/>
        <v>402992.6501</v>
      </c>
      <c r="AA37" s="52">
        <f t="shared" si="52"/>
        <v>415082.4296</v>
      </c>
      <c r="AB37" s="52">
        <f t="shared" si="52"/>
        <v>427534.9025</v>
      </c>
      <c r="AC37" s="52">
        <f t="shared" si="52"/>
        <v>440360.9495</v>
      </c>
      <c r="AD37" s="52">
        <f t="shared" si="25"/>
        <v>5372305.726</v>
      </c>
      <c r="AE37" s="53">
        <f t="shared" si="26"/>
        <v>0.1477576523</v>
      </c>
      <c r="AF37" s="54">
        <f t="shared" si="27"/>
        <v>9.111111111</v>
      </c>
      <c r="AG37" s="55"/>
      <c r="AH37" s="8"/>
    </row>
    <row r="38">
      <c r="A38" s="1"/>
      <c r="B38" s="41" t="s">
        <v>169</v>
      </c>
      <c r="C38" s="60" t="s">
        <v>170</v>
      </c>
      <c r="D38" s="41" t="s">
        <v>81</v>
      </c>
      <c r="E38" s="41" t="s">
        <v>171</v>
      </c>
      <c r="F38" s="1"/>
      <c r="G38" s="44">
        <v>50.0</v>
      </c>
      <c r="H38" s="44">
        <f t="shared" si="18"/>
        <v>41.66666667</v>
      </c>
      <c r="I38" s="45" t="s">
        <v>45</v>
      </c>
      <c r="J38" s="9"/>
      <c r="K38" s="47" t="s">
        <v>59</v>
      </c>
      <c r="L38" s="48">
        <v>44.0</v>
      </c>
      <c r="M38" s="49" t="s">
        <v>162</v>
      </c>
      <c r="N38" s="57" t="s">
        <v>93</v>
      </c>
      <c r="O38" s="51">
        <f>58000/$G$3</f>
        <v>67441.86047</v>
      </c>
      <c r="P38" s="52">
        <f t="shared" si="19"/>
        <v>500000</v>
      </c>
      <c r="Q38" s="52">
        <f t="shared" si="20"/>
        <v>567441.8605</v>
      </c>
      <c r="R38" s="52">
        <f t="shared" si="21"/>
        <v>737674.4186</v>
      </c>
      <c r="S38" s="52">
        <f t="shared" si="22"/>
        <v>-567441.8605</v>
      </c>
      <c r="T38" s="52">
        <f t="shared" si="31"/>
        <v>56250</v>
      </c>
      <c r="U38" s="52">
        <f t="shared" ref="U38:AC38" si="53">T38*(1+$T$4)</f>
        <v>57937.5</v>
      </c>
      <c r="V38" s="52">
        <f t="shared" si="53"/>
        <v>59675.625</v>
      </c>
      <c r="W38" s="52">
        <f t="shared" si="53"/>
        <v>61465.89375</v>
      </c>
      <c r="X38" s="52">
        <f t="shared" si="53"/>
        <v>63309.87056</v>
      </c>
      <c r="Y38" s="52">
        <f t="shared" si="53"/>
        <v>65209.16668</v>
      </c>
      <c r="Z38" s="52">
        <f t="shared" si="53"/>
        <v>67165.44168</v>
      </c>
      <c r="AA38" s="52">
        <f t="shared" si="53"/>
        <v>69180.40493</v>
      </c>
      <c r="AB38" s="52">
        <f t="shared" si="53"/>
        <v>71255.81708</v>
      </c>
      <c r="AC38" s="52">
        <f t="shared" si="53"/>
        <v>73393.49159</v>
      </c>
      <c r="AD38" s="52">
        <f>FV($T$4,10,0,-Q38)</f>
        <v>762594.4106</v>
      </c>
      <c r="AE38" s="53">
        <f t="shared" si="26"/>
        <v>0.1217387189</v>
      </c>
      <c r="AF38" s="54">
        <f t="shared" si="27"/>
        <v>10.0878553</v>
      </c>
      <c r="AG38" s="55"/>
      <c r="AH38" s="8"/>
    </row>
    <row r="39">
      <c r="A39" s="1"/>
      <c r="B39" s="41" t="s">
        <v>172</v>
      </c>
      <c r="C39" s="3" t="s">
        <v>173</v>
      </c>
      <c r="D39" s="41" t="s">
        <v>160</v>
      </c>
      <c r="E39" s="41" t="s">
        <v>174</v>
      </c>
      <c r="F39" s="1"/>
      <c r="G39" s="44">
        <v>200.0</v>
      </c>
      <c r="H39" s="44">
        <f t="shared" si="18"/>
        <v>166.6666667</v>
      </c>
      <c r="I39" s="45" t="s">
        <v>45</v>
      </c>
      <c r="J39" s="9"/>
      <c r="K39" s="47" t="s">
        <v>59</v>
      </c>
      <c r="L39" s="48">
        <v>40.0</v>
      </c>
      <c r="M39" s="49" t="s">
        <v>162</v>
      </c>
      <c r="N39" s="57" t="s">
        <v>93</v>
      </c>
      <c r="O39" s="51">
        <f>H39*1000/$G$3</f>
        <v>193798.4496</v>
      </c>
      <c r="P39" s="52">
        <f t="shared" si="19"/>
        <v>2000000</v>
      </c>
      <c r="Q39" s="52">
        <f t="shared" si="20"/>
        <v>2193798.45</v>
      </c>
      <c r="R39" s="52">
        <f t="shared" si="21"/>
        <v>2851937.984</v>
      </c>
      <c r="S39" s="52">
        <f t="shared" si="22"/>
        <v>-2193798.45</v>
      </c>
      <c r="T39" s="52">
        <f t="shared" si="31"/>
        <v>225000</v>
      </c>
      <c r="U39" s="52">
        <f t="shared" ref="U39:AC39" si="54">T39*(1+$T$4)</f>
        <v>231750</v>
      </c>
      <c r="V39" s="52">
        <f t="shared" si="54"/>
        <v>238702.5</v>
      </c>
      <c r="W39" s="52">
        <f t="shared" si="54"/>
        <v>245863.575</v>
      </c>
      <c r="X39" s="52">
        <f t="shared" si="54"/>
        <v>253239.4823</v>
      </c>
      <c r="Y39" s="52">
        <f t="shared" si="54"/>
        <v>260836.6667</v>
      </c>
      <c r="Z39" s="52">
        <f t="shared" si="54"/>
        <v>268661.7667</v>
      </c>
      <c r="AA39" s="52">
        <f t="shared" si="54"/>
        <v>276721.6197</v>
      </c>
      <c r="AB39" s="52">
        <f t="shared" si="54"/>
        <v>285023.2683</v>
      </c>
      <c r="AC39" s="52">
        <f t="shared" si="54"/>
        <v>293573.9664</v>
      </c>
      <c r="AD39" s="52">
        <f t="shared" ref="AD39:AD55" si="56">FV($T$4,10,0,-R39)</f>
        <v>3832766.17</v>
      </c>
      <c r="AE39" s="53">
        <f t="shared" si="26"/>
        <v>0.1412158652</v>
      </c>
      <c r="AF39" s="54">
        <f t="shared" si="27"/>
        <v>9.750215332</v>
      </c>
      <c r="AG39" s="55"/>
      <c r="AH39" s="8"/>
    </row>
    <row r="40">
      <c r="A40" s="1"/>
      <c r="B40" s="41" t="s">
        <v>175</v>
      </c>
      <c r="C40" s="3" t="s">
        <v>176</v>
      </c>
      <c r="D40" s="41" t="s">
        <v>160</v>
      </c>
      <c r="E40" s="41" t="s">
        <v>177</v>
      </c>
      <c r="F40" s="1"/>
      <c r="G40" s="44">
        <v>150.0</v>
      </c>
      <c r="H40" s="44">
        <f t="shared" si="18"/>
        <v>125</v>
      </c>
      <c r="I40" s="45" t="s">
        <v>45</v>
      </c>
      <c r="J40" s="9"/>
      <c r="K40" s="47" t="s">
        <v>59</v>
      </c>
      <c r="L40" s="48">
        <v>62.0</v>
      </c>
      <c r="M40" s="49" t="s">
        <v>162</v>
      </c>
      <c r="N40" s="57" t="s">
        <v>93</v>
      </c>
      <c r="O40" s="51">
        <v>20000.0</v>
      </c>
      <c r="P40" s="52">
        <f t="shared" si="19"/>
        <v>1500000</v>
      </c>
      <c r="Q40" s="52">
        <f t="shared" si="20"/>
        <v>1520000</v>
      </c>
      <c r="R40" s="52">
        <f t="shared" si="21"/>
        <v>1976000</v>
      </c>
      <c r="S40" s="52">
        <f t="shared" si="22"/>
        <v>-1520000</v>
      </c>
      <c r="T40" s="52">
        <f t="shared" si="31"/>
        <v>168750</v>
      </c>
      <c r="U40" s="52">
        <f t="shared" ref="U40:AC40" si="55">T40*(1+$T$4)</f>
        <v>173812.5</v>
      </c>
      <c r="V40" s="52">
        <f t="shared" si="55"/>
        <v>179026.875</v>
      </c>
      <c r="W40" s="52">
        <f t="shared" si="55"/>
        <v>184397.6813</v>
      </c>
      <c r="X40" s="52">
        <f t="shared" si="55"/>
        <v>189929.6117</v>
      </c>
      <c r="Y40" s="52">
        <f t="shared" si="55"/>
        <v>195627.5</v>
      </c>
      <c r="Z40" s="52">
        <f t="shared" si="55"/>
        <v>201496.325</v>
      </c>
      <c r="AA40" s="52">
        <f t="shared" si="55"/>
        <v>207541.2148</v>
      </c>
      <c r="AB40" s="52">
        <f t="shared" si="55"/>
        <v>213767.4512</v>
      </c>
      <c r="AC40" s="52">
        <f t="shared" si="55"/>
        <v>220180.4748</v>
      </c>
      <c r="AD40" s="52">
        <f t="shared" si="56"/>
        <v>2655578.766</v>
      </c>
      <c r="AE40" s="53">
        <f t="shared" si="26"/>
        <v>0.1489100452</v>
      </c>
      <c r="AF40" s="54">
        <f t="shared" si="27"/>
        <v>9.007407407</v>
      </c>
      <c r="AG40" s="55"/>
      <c r="AH40" s="8"/>
    </row>
    <row r="41">
      <c r="A41" s="1"/>
      <c r="B41" s="41" t="s">
        <v>178</v>
      </c>
      <c r="C41" s="60" t="s">
        <v>179</v>
      </c>
      <c r="D41" s="41" t="s">
        <v>81</v>
      </c>
      <c r="E41" s="41" t="s">
        <v>180</v>
      </c>
      <c r="F41" s="1"/>
      <c r="G41" s="44">
        <v>50.0</v>
      </c>
      <c r="H41" s="44">
        <f t="shared" si="18"/>
        <v>41.66666667</v>
      </c>
      <c r="I41" s="45" t="s">
        <v>45</v>
      </c>
      <c r="J41" s="9"/>
      <c r="K41" s="47" t="s">
        <v>59</v>
      </c>
      <c r="L41" s="48">
        <v>15.0</v>
      </c>
      <c r="M41" s="49" t="s">
        <v>162</v>
      </c>
      <c r="N41" s="57" t="s">
        <v>93</v>
      </c>
      <c r="O41" s="51">
        <f>60000/$G$3</f>
        <v>69767.44186</v>
      </c>
      <c r="P41" s="52">
        <f t="shared" si="19"/>
        <v>500000</v>
      </c>
      <c r="Q41" s="52">
        <f t="shared" si="20"/>
        <v>569767.4419</v>
      </c>
      <c r="R41" s="52">
        <f t="shared" si="21"/>
        <v>740697.6744</v>
      </c>
      <c r="S41" s="52">
        <f t="shared" si="22"/>
        <v>-569767.4419</v>
      </c>
      <c r="T41" s="52">
        <f t="shared" si="31"/>
        <v>56250</v>
      </c>
      <c r="U41" s="52">
        <f t="shared" ref="U41:AC41" si="57">T41*(1+$T$4)</f>
        <v>57937.5</v>
      </c>
      <c r="V41" s="52">
        <f t="shared" si="57"/>
        <v>59675.625</v>
      </c>
      <c r="W41" s="52">
        <f t="shared" si="57"/>
        <v>61465.89375</v>
      </c>
      <c r="X41" s="52">
        <f t="shared" si="57"/>
        <v>63309.87056</v>
      </c>
      <c r="Y41" s="52">
        <f t="shared" si="57"/>
        <v>65209.16668</v>
      </c>
      <c r="Z41" s="52">
        <f t="shared" si="57"/>
        <v>67165.44168</v>
      </c>
      <c r="AA41" s="52">
        <f t="shared" si="57"/>
        <v>69180.40493</v>
      </c>
      <c r="AB41" s="52">
        <f t="shared" si="57"/>
        <v>71255.81708</v>
      </c>
      <c r="AC41" s="52">
        <f t="shared" si="57"/>
        <v>73393.49159</v>
      </c>
      <c r="AD41" s="52">
        <f t="shared" si="56"/>
        <v>995435.7368</v>
      </c>
      <c r="AE41" s="53">
        <f t="shared" si="26"/>
        <v>0.1377400762</v>
      </c>
      <c r="AF41" s="54">
        <f t="shared" si="27"/>
        <v>10.12919897</v>
      </c>
      <c r="AG41" s="55"/>
      <c r="AH41" s="8"/>
    </row>
    <row r="42">
      <c r="A42" s="1"/>
      <c r="B42" s="41" t="s">
        <v>181</v>
      </c>
      <c r="C42" s="3" t="s">
        <v>182</v>
      </c>
      <c r="D42" s="41" t="s">
        <v>183</v>
      </c>
      <c r="E42" s="41" t="s">
        <v>184</v>
      </c>
      <c r="F42" s="1"/>
      <c r="G42" s="44">
        <v>50.0</v>
      </c>
      <c r="H42" s="44">
        <f t="shared" si="18"/>
        <v>41.66666667</v>
      </c>
      <c r="I42" s="45" t="s">
        <v>45</v>
      </c>
      <c r="J42" s="9"/>
      <c r="K42" s="47" t="s">
        <v>59</v>
      </c>
      <c r="L42" s="48">
        <v>12.0</v>
      </c>
      <c r="M42" s="49" t="s">
        <v>162</v>
      </c>
      <c r="N42" s="57" t="s">
        <v>93</v>
      </c>
      <c r="O42" s="51">
        <f>H42*1000/$G$3</f>
        <v>48449.6124</v>
      </c>
      <c r="P42" s="52">
        <f t="shared" si="19"/>
        <v>500000</v>
      </c>
      <c r="Q42" s="52">
        <f t="shared" si="20"/>
        <v>548449.6124</v>
      </c>
      <c r="R42" s="52">
        <f t="shared" si="21"/>
        <v>712984.4961</v>
      </c>
      <c r="S42" s="52">
        <f t="shared" si="22"/>
        <v>-548449.6124</v>
      </c>
      <c r="T42" s="52">
        <f t="shared" si="31"/>
        <v>56250</v>
      </c>
      <c r="U42" s="52">
        <f t="shared" ref="U42:AC42" si="58">T42*(1+$T$4)</f>
        <v>57937.5</v>
      </c>
      <c r="V42" s="52">
        <f t="shared" si="58"/>
        <v>59675.625</v>
      </c>
      <c r="W42" s="52">
        <f t="shared" si="58"/>
        <v>61465.89375</v>
      </c>
      <c r="X42" s="52">
        <f t="shared" si="58"/>
        <v>63309.87056</v>
      </c>
      <c r="Y42" s="52">
        <f t="shared" si="58"/>
        <v>65209.16668</v>
      </c>
      <c r="Z42" s="52">
        <f t="shared" si="58"/>
        <v>67165.44168</v>
      </c>
      <c r="AA42" s="52">
        <f t="shared" si="58"/>
        <v>69180.40493</v>
      </c>
      <c r="AB42" s="52">
        <f t="shared" si="58"/>
        <v>71255.81708</v>
      </c>
      <c r="AC42" s="52">
        <f t="shared" si="58"/>
        <v>73393.49159</v>
      </c>
      <c r="AD42" s="52">
        <f t="shared" si="56"/>
        <v>958191.5426</v>
      </c>
      <c r="AE42" s="53">
        <f t="shared" si="26"/>
        <v>0.1412158652</v>
      </c>
      <c r="AF42" s="54">
        <f t="shared" si="27"/>
        <v>9.750215332</v>
      </c>
      <c r="AG42" s="55"/>
      <c r="AH42" s="8"/>
    </row>
    <row r="43">
      <c r="A43" s="1"/>
      <c r="B43" s="41" t="s">
        <v>185</v>
      </c>
      <c r="C43" s="3" t="s">
        <v>186</v>
      </c>
      <c r="D43" s="41" t="s">
        <v>42</v>
      </c>
      <c r="E43" s="41" t="s">
        <v>187</v>
      </c>
      <c r="F43" s="1"/>
      <c r="G43" s="44">
        <v>50.0</v>
      </c>
      <c r="H43" s="44">
        <f t="shared" si="18"/>
        <v>41.66666667</v>
      </c>
      <c r="I43" s="45" t="s">
        <v>45</v>
      </c>
      <c r="J43" s="9"/>
      <c r="K43" s="47" t="s">
        <v>59</v>
      </c>
      <c r="L43" s="48">
        <v>7.0</v>
      </c>
      <c r="M43" s="49" t="s">
        <v>162</v>
      </c>
      <c r="N43" s="57" t="s">
        <v>93</v>
      </c>
      <c r="O43" s="51">
        <f>H43*1000/$G$2</f>
        <v>30864.19753</v>
      </c>
      <c r="P43" s="52">
        <f t="shared" si="19"/>
        <v>500000</v>
      </c>
      <c r="Q43" s="52">
        <f t="shared" si="20"/>
        <v>530864.1975</v>
      </c>
      <c r="R43" s="52">
        <f t="shared" si="21"/>
        <v>690123.4568</v>
      </c>
      <c r="S43" s="52">
        <f t="shared" si="22"/>
        <v>-530864.1975</v>
      </c>
      <c r="T43" s="52">
        <f t="shared" si="31"/>
        <v>56250</v>
      </c>
      <c r="U43" s="52">
        <f t="shared" ref="U43:AC43" si="59">T43*(1+$T$4)</f>
        <v>57937.5</v>
      </c>
      <c r="V43" s="52">
        <f t="shared" si="59"/>
        <v>59675.625</v>
      </c>
      <c r="W43" s="52">
        <f t="shared" si="59"/>
        <v>61465.89375</v>
      </c>
      <c r="X43" s="52">
        <f t="shared" si="59"/>
        <v>63309.87056</v>
      </c>
      <c r="Y43" s="52">
        <f t="shared" si="59"/>
        <v>65209.16668</v>
      </c>
      <c r="Z43" s="52">
        <f t="shared" si="59"/>
        <v>67165.44168</v>
      </c>
      <c r="AA43" s="52">
        <f t="shared" si="59"/>
        <v>69180.40493</v>
      </c>
      <c r="AB43" s="52">
        <f t="shared" si="59"/>
        <v>71255.81708</v>
      </c>
      <c r="AC43" s="52">
        <f t="shared" si="59"/>
        <v>73393.49159</v>
      </c>
      <c r="AD43" s="52">
        <f t="shared" si="56"/>
        <v>927468.2173</v>
      </c>
      <c r="AE43" s="53">
        <f t="shared" si="26"/>
        <v>0.1443011197</v>
      </c>
      <c r="AF43" s="54">
        <f t="shared" si="27"/>
        <v>9.437585734</v>
      </c>
      <c r="AG43" s="55"/>
      <c r="AH43" s="8"/>
    </row>
    <row r="44">
      <c r="A44" s="1"/>
      <c r="B44" s="41" t="s">
        <v>188</v>
      </c>
      <c r="C44" s="3" t="s">
        <v>189</v>
      </c>
      <c r="D44" s="41" t="s">
        <v>190</v>
      </c>
      <c r="E44" s="41" t="s">
        <v>191</v>
      </c>
      <c r="F44" s="1"/>
      <c r="G44" s="44">
        <v>20.0</v>
      </c>
      <c r="H44" s="44">
        <f t="shared" si="18"/>
        <v>16.66666667</v>
      </c>
      <c r="I44" s="45" t="s">
        <v>45</v>
      </c>
      <c r="J44" s="1"/>
      <c r="K44" s="47" t="s">
        <v>54</v>
      </c>
      <c r="L44" s="48">
        <v>6.0</v>
      </c>
      <c r="M44" s="49" t="s">
        <v>162</v>
      </c>
      <c r="N44" s="57" t="s">
        <v>93</v>
      </c>
      <c r="O44" s="51">
        <f>H44*1000/$G$3</f>
        <v>19379.84496</v>
      </c>
      <c r="P44" s="52">
        <f t="shared" si="19"/>
        <v>200000</v>
      </c>
      <c r="Q44" s="52">
        <f t="shared" si="20"/>
        <v>219379.845</v>
      </c>
      <c r="R44" s="52">
        <f t="shared" si="21"/>
        <v>285193.7984</v>
      </c>
      <c r="S44" s="52">
        <f t="shared" si="22"/>
        <v>-219379.845</v>
      </c>
      <c r="T44" s="52">
        <f t="shared" si="31"/>
        <v>22500</v>
      </c>
      <c r="U44" s="52">
        <f t="shared" ref="U44:AC44" si="60">T44*(1+$T$4)</f>
        <v>23175</v>
      </c>
      <c r="V44" s="52">
        <f t="shared" si="60"/>
        <v>23870.25</v>
      </c>
      <c r="W44" s="52">
        <f t="shared" si="60"/>
        <v>24586.3575</v>
      </c>
      <c r="X44" s="52">
        <f t="shared" si="60"/>
        <v>25323.94823</v>
      </c>
      <c r="Y44" s="52">
        <f t="shared" si="60"/>
        <v>26083.66667</v>
      </c>
      <c r="Z44" s="52">
        <f t="shared" si="60"/>
        <v>26866.17667</v>
      </c>
      <c r="AA44" s="52">
        <f t="shared" si="60"/>
        <v>27672.16197</v>
      </c>
      <c r="AB44" s="52">
        <f t="shared" si="60"/>
        <v>28502.32683</v>
      </c>
      <c r="AC44" s="52">
        <f t="shared" si="60"/>
        <v>29357.39664</v>
      </c>
      <c r="AD44" s="52">
        <f t="shared" si="56"/>
        <v>383276.617</v>
      </c>
      <c r="AE44" s="53">
        <f t="shared" si="26"/>
        <v>0.1412158652</v>
      </c>
      <c r="AF44" s="54">
        <f t="shared" si="27"/>
        <v>9.750215332</v>
      </c>
      <c r="AG44" s="55"/>
      <c r="AH44" s="8"/>
    </row>
    <row r="45">
      <c r="A45" s="1"/>
      <c r="B45" s="58" t="s">
        <v>192</v>
      </c>
      <c r="C45" s="60" t="s">
        <v>193</v>
      </c>
      <c r="D45" s="41" t="s">
        <v>42</v>
      </c>
      <c r="E45" s="41" t="s">
        <v>194</v>
      </c>
      <c r="F45" s="47" t="s">
        <v>53</v>
      </c>
      <c r="G45" s="47">
        <v>5.0</v>
      </c>
      <c r="H45" s="44">
        <f t="shared" si="18"/>
        <v>4.166666667</v>
      </c>
      <c r="I45" s="45" t="s">
        <v>45</v>
      </c>
      <c r="J45" s="1"/>
      <c r="K45" s="47" t="s">
        <v>54</v>
      </c>
      <c r="L45" s="48">
        <v>2.0</v>
      </c>
      <c r="M45" s="49" t="s">
        <v>112</v>
      </c>
      <c r="N45" s="57" t="s">
        <v>66</v>
      </c>
      <c r="O45" s="51">
        <f>6000*$G$2</f>
        <v>8100</v>
      </c>
      <c r="P45" s="52">
        <f t="shared" si="19"/>
        <v>50000</v>
      </c>
      <c r="Q45" s="52">
        <f t="shared" si="20"/>
        <v>58100</v>
      </c>
      <c r="R45" s="52">
        <f t="shared" si="21"/>
        <v>75530</v>
      </c>
      <c r="S45" s="52">
        <f t="shared" si="22"/>
        <v>-58100</v>
      </c>
      <c r="T45" s="52">
        <f t="shared" si="31"/>
        <v>5625</v>
      </c>
      <c r="U45" s="52">
        <f t="shared" ref="U45:AC45" si="61">T45*(1+$T$4)</f>
        <v>5793.75</v>
      </c>
      <c r="V45" s="52">
        <f t="shared" si="61"/>
        <v>5967.5625</v>
      </c>
      <c r="W45" s="52">
        <f t="shared" si="61"/>
        <v>6146.589375</v>
      </c>
      <c r="X45" s="52">
        <f t="shared" si="61"/>
        <v>6330.987056</v>
      </c>
      <c r="Y45" s="52">
        <f t="shared" si="61"/>
        <v>6520.916668</v>
      </c>
      <c r="Z45" s="52">
        <f t="shared" si="61"/>
        <v>6716.544168</v>
      </c>
      <c r="AA45" s="52">
        <f t="shared" si="61"/>
        <v>6918.040493</v>
      </c>
      <c r="AB45" s="52">
        <f t="shared" si="61"/>
        <v>7125.581708</v>
      </c>
      <c r="AC45" s="52">
        <f t="shared" si="61"/>
        <v>7339.349159</v>
      </c>
      <c r="AD45" s="52">
        <f t="shared" si="56"/>
        <v>101506.0041</v>
      </c>
      <c r="AE45" s="53">
        <f t="shared" si="26"/>
        <v>0.1360148277</v>
      </c>
      <c r="AF45" s="54">
        <f t="shared" si="27"/>
        <v>10.32888889</v>
      </c>
      <c r="AG45" s="55"/>
      <c r="AH45" s="8"/>
    </row>
    <row r="46">
      <c r="A46" s="1"/>
      <c r="B46" s="58" t="s">
        <v>195</v>
      </c>
      <c r="C46" s="60" t="s">
        <v>196</v>
      </c>
      <c r="D46" s="41" t="s">
        <v>42</v>
      </c>
      <c r="E46" s="41" t="s">
        <v>197</v>
      </c>
      <c r="F46" s="47" t="s">
        <v>53</v>
      </c>
      <c r="G46" s="47">
        <v>20.0</v>
      </c>
      <c r="H46" s="44">
        <f t="shared" si="18"/>
        <v>16.66666667</v>
      </c>
      <c r="I46" s="45" t="s">
        <v>45</v>
      </c>
      <c r="J46" s="1"/>
      <c r="K46" s="47" t="s">
        <v>54</v>
      </c>
      <c r="L46" s="48">
        <v>4.2</v>
      </c>
      <c r="M46" s="49" t="s">
        <v>112</v>
      </c>
      <c r="N46" s="57" t="s">
        <v>66</v>
      </c>
      <c r="O46" s="51">
        <f t="shared" ref="O46:O55" si="63">H46*1000/$G$2</f>
        <v>12345.67901</v>
      </c>
      <c r="P46" s="52">
        <f t="shared" si="19"/>
        <v>200000</v>
      </c>
      <c r="Q46" s="52">
        <f t="shared" si="20"/>
        <v>212345.679</v>
      </c>
      <c r="R46" s="52">
        <f t="shared" si="21"/>
        <v>276049.3827</v>
      </c>
      <c r="S46" s="52">
        <f t="shared" si="22"/>
        <v>-212345.679</v>
      </c>
      <c r="T46" s="52">
        <f t="shared" si="31"/>
        <v>22500</v>
      </c>
      <c r="U46" s="52">
        <f t="shared" ref="U46:AC46" si="62">T46*(1+$T$4)</f>
        <v>23175</v>
      </c>
      <c r="V46" s="52">
        <f t="shared" si="62"/>
        <v>23870.25</v>
      </c>
      <c r="W46" s="52">
        <f t="shared" si="62"/>
        <v>24586.3575</v>
      </c>
      <c r="X46" s="52">
        <f t="shared" si="62"/>
        <v>25323.94823</v>
      </c>
      <c r="Y46" s="52">
        <f t="shared" si="62"/>
        <v>26083.66667</v>
      </c>
      <c r="Z46" s="52">
        <f t="shared" si="62"/>
        <v>26866.17667</v>
      </c>
      <c r="AA46" s="52">
        <f t="shared" si="62"/>
        <v>27672.16197</v>
      </c>
      <c r="AB46" s="52">
        <f t="shared" si="62"/>
        <v>28502.32683</v>
      </c>
      <c r="AC46" s="52">
        <f t="shared" si="62"/>
        <v>29357.39664</v>
      </c>
      <c r="AD46" s="52">
        <f t="shared" si="56"/>
        <v>370987.2869</v>
      </c>
      <c r="AE46" s="53">
        <f t="shared" si="26"/>
        <v>0.1443011197</v>
      </c>
      <c r="AF46" s="54">
        <f t="shared" si="27"/>
        <v>9.437585734</v>
      </c>
      <c r="AG46" s="55"/>
      <c r="AH46" s="8"/>
    </row>
    <row r="47">
      <c r="A47" s="1"/>
      <c r="B47" s="58" t="s">
        <v>198</v>
      </c>
      <c r="C47" s="60" t="s">
        <v>199</v>
      </c>
      <c r="D47" s="41" t="s">
        <v>42</v>
      </c>
      <c r="E47" s="41" t="s">
        <v>200</v>
      </c>
      <c r="F47" s="47" t="s">
        <v>53</v>
      </c>
      <c r="G47" s="47">
        <v>20.0</v>
      </c>
      <c r="H47" s="44">
        <f t="shared" si="18"/>
        <v>16.66666667</v>
      </c>
      <c r="I47" s="45" t="s">
        <v>45</v>
      </c>
      <c r="J47" s="1"/>
      <c r="K47" s="47" t="s">
        <v>54</v>
      </c>
      <c r="L47" s="48">
        <v>10.0</v>
      </c>
      <c r="M47" s="49" t="s">
        <v>112</v>
      </c>
      <c r="N47" s="57" t="s">
        <v>66</v>
      </c>
      <c r="O47" s="51">
        <f t="shared" si="63"/>
        <v>12345.67901</v>
      </c>
      <c r="P47" s="52">
        <f t="shared" si="19"/>
        <v>200000</v>
      </c>
      <c r="Q47" s="52">
        <f t="shared" si="20"/>
        <v>212345.679</v>
      </c>
      <c r="R47" s="52">
        <f t="shared" si="21"/>
        <v>276049.3827</v>
      </c>
      <c r="S47" s="52">
        <f t="shared" si="22"/>
        <v>-212345.679</v>
      </c>
      <c r="T47" s="52">
        <f t="shared" si="31"/>
        <v>22500</v>
      </c>
      <c r="U47" s="52">
        <f t="shared" ref="U47:AC47" si="64">T47*(1+$T$4)</f>
        <v>23175</v>
      </c>
      <c r="V47" s="52">
        <f t="shared" si="64"/>
        <v>23870.25</v>
      </c>
      <c r="W47" s="52">
        <f t="shared" si="64"/>
        <v>24586.3575</v>
      </c>
      <c r="X47" s="52">
        <f t="shared" si="64"/>
        <v>25323.94823</v>
      </c>
      <c r="Y47" s="52">
        <f t="shared" si="64"/>
        <v>26083.66667</v>
      </c>
      <c r="Z47" s="52">
        <f t="shared" si="64"/>
        <v>26866.17667</v>
      </c>
      <c r="AA47" s="52">
        <f t="shared" si="64"/>
        <v>27672.16197</v>
      </c>
      <c r="AB47" s="52">
        <f t="shared" si="64"/>
        <v>28502.32683</v>
      </c>
      <c r="AC47" s="52">
        <f t="shared" si="64"/>
        <v>29357.39664</v>
      </c>
      <c r="AD47" s="52">
        <f t="shared" si="56"/>
        <v>370987.2869</v>
      </c>
      <c r="AE47" s="53">
        <f t="shared" si="26"/>
        <v>0.1443011197</v>
      </c>
      <c r="AF47" s="54">
        <f t="shared" si="27"/>
        <v>9.437585734</v>
      </c>
      <c r="AG47" s="55"/>
      <c r="AH47" s="8"/>
    </row>
    <row r="48">
      <c r="A48" s="1"/>
      <c r="B48" s="58" t="s">
        <v>201</v>
      </c>
      <c r="C48" s="60" t="s">
        <v>202</v>
      </c>
      <c r="D48" s="41" t="s">
        <v>42</v>
      </c>
      <c r="E48" s="41" t="s">
        <v>203</v>
      </c>
      <c r="F48" s="47" t="s">
        <v>53</v>
      </c>
      <c r="G48" s="47">
        <v>10.0</v>
      </c>
      <c r="H48" s="44">
        <f t="shared" si="18"/>
        <v>8.333333333</v>
      </c>
      <c r="I48" s="45" t="s">
        <v>45</v>
      </c>
      <c r="J48" s="1"/>
      <c r="K48" s="47" t="s">
        <v>54</v>
      </c>
      <c r="L48" s="48">
        <v>3.0</v>
      </c>
      <c r="M48" s="49" t="s">
        <v>112</v>
      </c>
      <c r="N48" s="57" t="s">
        <v>66</v>
      </c>
      <c r="O48" s="51">
        <f t="shared" si="63"/>
        <v>6172.839506</v>
      </c>
      <c r="P48" s="52">
        <f t="shared" si="19"/>
        <v>100000</v>
      </c>
      <c r="Q48" s="52">
        <f t="shared" si="20"/>
        <v>106172.8395</v>
      </c>
      <c r="R48" s="52">
        <f t="shared" si="21"/>
        <v>138024.6914</v>
      </c>
      <c r="S48" s="52">
        <f t="shared" si="22"/>
        <v>-106172.8395</v>
      </c>
      <c r="T48" s="52">
        <f t="shared" si="31"/>
        <v>11250</v>
      </c>
      <c r="U48" s="52">
        <f t="shared" ref="U48:AC48" si="65">T48*(1+$T$4)</f>
        <v>11587.5</v>
      </c>
      <c r="V48" s="52">
        <f t="shared" si="65"/>
        <v>11935.125</v>
      </c>
      <c r="W48" s="52">
        <f t="shared" si="65"/>
        <v>12293.17875</v>
      </c>
      <c r="X48" s="52">
        <f t="shared" si="65"/>
        <v>12661.97411</v>
      </c>
      <c r="Y48" s="52">
        <f t="shared" si="65"/>
        <v>13041.83334</v>
      </c>
      <c r="Z48" s="52">
        <f t="shared" si="65"/>
        <v>13433.08834</v>
      </c>
      <c r="AA48" s="52">
        <f t="shared" si="65"/>
        <v>13836.08099</v>
      </c>
      <c r="AB48" s="52">
        <f t="shared" si="65"/>
        <v>14251.16342</v>
      </c>
      <c r="AC48" s="52">
        <f t="shared" si="65"/>
        <v>14678.69832</v>
      </c>
      <c r="AD48" s="52">
        <f t="shared" si="56"/>
        <v>185493.6435</v>
      </c>
      <c r="AE48" s="53">
        <f t="shared" si="26"/>
        <v>0.1443011197</v>
      </c>
      <c r="AF48" s="54">
        <f t="shared" si="27"/>
        <v>9.437585734</v>
      </c>
      <c r="AG48" s="55"/>
      <c r="AH48" s="8"/>
    </row>
    <row r="49">
      <c r="A49" s="1"/>
      <c r="B49" s="58" t="s">
        <v>204</v>
      </c>
      <c r="C49" s="60" t="s">
        <v>205</v>
      </c>
      <c r="D49" s="41" t="s">
        <v>42</v>
      </c>
      <c r="E49" s="41" t="s">
        <v>206</v>
      </c>
      <c r="F49" s="47" t="s">
        <v>53</v>
      </c>
      <c r="G49" s="47">
        <v>30.0</v>
      </c>
      <c r="H49" s="44">
        <f t="shared" si="18"/>
        <v>25</v>
      </c>
      <c r="I49" s="45" t="s">
        <v>45</v>
      </c>
      <c r="J49" s="1"/>
      <c r="K49" s="47" t="s">
        <v>54</v>
      </c>
      <c r="L49" s="48">
        <v>5.0</v>
      </c>
      <c r="M49" s="49" t="s">
        <v>112</v>
      </c>
      <c r="N49" s="57" t="s">
        <v>66</v>
      </c>
      <c r="O49" s="51">
        <f t="shared" si="63"/>
        <v>18518.51852</v>
      </c>
      <c r="P49" s="52">
        <f t="shared" si="19"/>
        <v>300000</v>
      </c>
      <c r="Q49" s="52">
        <f t="shared" si="20"/>
        <v>318518.5185</v>
      </c>
      <c r="R49" s="52">
        <f t="shared" si="21"/>
        <v>414074.0741</v>
      </c>
      <c r="S49" s="52">
        <f t="shared" si="22"/>
        <v>-318518.5185</v>
      </c>
      <c r="T49" s="52">
        <f t="shared" si="31"/>
        <v>33750</v>
      </c>
      <c r="U49" s="52">
        <f t="shared" ref="U49:AC49" si="66">T49*(1+$T$4)</f>
        <v>34762.5</v>
      </c>
      <c r="V49" s="52">
        <f t="shared" si="66"/>
        <v>35805.375</v>
      </c>
      <c r="W49" s="52">
        <f t="shared" si="66"/>
        <v>36879.53625</v>
      </c>
      <c r="X49" s="52">
        <f t="shared" si="66"/>
        <v>37985.92234</v>
      </c>
      <c r="Y49" s="52">
        <f t="shared" si="66"/>
        <v>39125.50001</v>
      </c>
      <c r="Z49" s="52">
        <f t="shared" si="66"/>
        <v>40299.26501</v>
      </c>
      <c r="AA49" s="52">
        <f t="shared" si="66"/>
        <v>41508.24296</v>
      </c>
      <c r="AB49" s="52">
        <f t="shared" si="66"/>
        <v>42753.49025</v>
      </c>
      <c r="AC49" s="52">
        <f t="shared" si="66"/>
        <v>44036.09495</v>
      </c>
      <c r="AD49" s="52">
        <f t="shared" si="56"/>
        <v>556480.9304</v>
      </c>
      <c r="AE49" s="53">
        <f t="shared" si="26"/>
        <v>0.1443011197</v>
      </c>
      <c r="AF49" s="54">
        <f t="shared" si="27"/>
        <v>9.437585734</v>
      </c>
      <c r="AG49" s="55"/>
      <c r="AH49" s="8"/>
    </row>
    <row r="50">
      <c r="A50" s="1"/>
      <c r="B50" s="58" t="s">
        <v>207</v>
      </c>
      <c r="C50" s="60" t="s">
        <v>208</v>
      </c>
      <c r="D50" s="41" t="s">
        <v>42</v>
      </c>
      <c r="E50" s="41" t="s">
        <v>209</v>
      </c>
      <c r="F50" s="47" t="s">
        <v>53</v>
      </c>
      <c r="G50" s="47">
        <v>20.0</v>
      </c>
      <c r="H50" s="44">
        <f t="shared" si="18"/>
        <v>16.66666667</v>
      </c>
      <c r="I50" s="45" t="s">
        <v>45</v>
      </c>
      <c r="J50" s="1"/>
      <c r="K50" s="47" t="s">
        <v>54</v>
      </c>
      <c r="L50" s="48">
        <v>2.0</v>
      </c>
      <c r="M50" s="49" t="s">
        <v>112</v>
      </c>
      <c r="N50" s="57" t="s">
        <v>66</v>
      </c>
      <c r="O50" s="51">
        <f t="shared" si="63"/>
        <v>12345.67901</v>
      </c>
      <c r="P50" s="52">
        <f t="shared" si="19"/>
        <v>200000</v>
      </c>
      <c r="Q50" s="52">
        <f t="shared" si="20"/>
        <v>212345.679</v>
      </c>
      <c r="R50" s="52">
        <f t="shared" si="21"/>
        <v>276049.3827</v>
      </c>
      <c r="S50" s="52">
        <f t="shared" si="22"/>
        <v>-212345.679</v>
      </c>
      <c r="T50" s="52">
        <f t="shared" si="31"/>
        <v>22500</v>
      </c>
      <c r="U50" s="52">
        <f t="shared" ref="U50:AC50" si="67">T50*(1+$T$4)</f>
        <v>23175</v>
      </c>
      <c r="V50" s="52">
        <f t="shared" si="67"/>
        <v>23870.25</v>
      </c>
      <c r="W50" s="52">
        <f t="shared" si="67"/>
        <v>24586.3575</v>
      </c>
      <c r="X50" s="52">
        <f t="shared" si="67"/>
        <v>25323.94823</v>
      </c>
      <c r="Y50" s="52">
        <f t="shared" si="67"/>
        <v>26083.66667</v>
      </c>
      <c r="Z50" s="52">
        <f t="shared" si="67"/>
        <v>26866.17667</v>
      </c>
      <c r="AA50" s="52">
        <f t="shared" si="67"/>
        <v>27672.16197</v>
      </c>
      <c r="AB50" s="52">
        <f t="shared" si="67"/>
        <v>28502.32683</v>
      </c>
      <c r="AC50" s="52">
        <f t="shared" si="67"/>
        <v>29357.39664</v>
      </c>
      <c r="AD50" s="52">
        <f t="shared" si="56"/>
        <v>370987.2869</v>
      </c>
      <c r="AE50" s="53">
        <f t="shared" si="26"/>
        <v>0.1443011197</v>
      </c>
      <c r="AF50" s="54">
        <f t="shared" si="27"/>
        <v>9.437585734</v>
      </c>
      <c r="AG50" s="55"/>
      <c r="AH50" s="8"/>
    </row>
    <row r="51">
      <c r="A51" s="1"/>
      <c r="B51" s="58" t="s">
        <v>210</v>
      </c>
      <c r="C51" s="60" t="s">
        <v>211</v>
      </c>
      <c r="D51" s="41" t="s">
        <v>81</v>
      </c>
      <c r="E51" s="41" t="s">
        <v>212</v>
      </c>
      <c r="F51" s="47" t="s">
        <v>53</v>
      </c>
      <c r="G51" s="47">
        <v>100.0</v>
      </c>
      <c r="H51" s="44">
        <f t="shared" si="18"/>
        <v>83.33333333</v>
      </c>
      <c r="I51" s="45" t="s">
        <v>45</v>
      </c>
      <c r="J51" s="1"/>
      <c r="K51" s="47" t="s">
        <v>59</v>
      </c>
      <c r="L51" s="59"/>
      <c r="M51" s="49" t="s">
        <v>112</v>
      </c>
      <c r="N51" s="57" t="s">
        <v>213</v>
      </c>
      <c r="O51" s="51">
        <f t="shared" si="63"/>
        <v>61728.39506</v>
      </c>
      <c r="P51" s="52">
        <f t="shared" si="19"/>
        <v>1000000</v>
      </c>
      <c r="Q51" s="52">
        <f t="shared" si="20"/>
        <v>1061728.395</v>
      </c>
      <c r="R51" s="52">
        <f t="shared" si="21"/>
        <v>1380246.914</v>
      </c>
      <c r="S51" s="52">
        <f t="shared" si="22"/>
        <v>-1061728.395</v>
      </c>
      <c r="T51" s="52">
        <f t="shared" si="31"/>
        <v>112500</v>
      </c>
      <c r="U51" s="52">
        <f t="shared" ref="U51:AC51" si="68">T51*(1+$T$4)</f>
        <v>115875</v>
      </c>
      <c r="V51" s="52">
        <f t="shared" si="68"/>
        <v>119351.25</v>
      </c>
      <c r="W51" s="52">
        <f t="shared" si="68"/>
        <v>122931.7875</v>
      </c>
      <c r="X51" s="52">
        <f t="shared" si="68"/>
        <v>126619.7411</v>
      </c>
      <c r="Y51" s="52">
        <f t="shared" si="68"/>
        <v>130418.3334</v>
      </c>
      <c r="Z51" s="52">
        <f t="shared" si="68"/>
        <v>134330.8834</v>
      </c>
      <c r="AA51" s="52">
        <f t="shared" si="68"/>
        <v>138360.8099</v>
      </c>
      <c r="AB51" s="52">
        <f t="shared" si="68"/>
        <v>142511.6342</v>
      </c>
      <c r="AC51" s="52">
        <f t="shared" si="68"/>
        <v>146786.9832</v>
      </c>
      <c r="AD51" s="52">
        <f t="shared" si="56"/>
        <v>1854936.435</v>
      </c>
      <c r="AE51" s="53">
        <f t="shared" si="26"/>
        <v>0.1443011197</v>
      </c>
      <c r="AF51" s="54">
        <f t="shared" si="27"/>
        <v>9.437585734</v>
      </c>
      <c r="AG51" s="55"/>
      <c r="AH51" s="8"/>
    </row>
    <row r="52">
      <c r="A52" s="1"/>
      <c r="B52" s="58" t="s">
        <v>214</v>
      </c>
      <c r="C52" s="60" t="s">
        <v>215</v>
      </c>
      <c r="D52" s="41" t="s">
        <v>63</v>
      </c>
      <c r="E52" s="41" t="s">
        <v>216</v>
      </c>
      <c r="F52" s="1"/>
      <c r="G52" s="47">
        <v>50.0</v>
      </c>
      <c r="H52" s="44">
        <f t="shared" si="18"/>
        <v>41.66666667</v>
      </c>
      <c r="I52" s="45" t="s">
        <v>45</v>
      </c>
      <c r="J52" s="1"/>
      <c r="K52" s="47" t="s">
        <v>59</v>
      </c>
      <c r="L52" s="59"/>
      <c r="M52" s="49" t="s">
        <v>137</v>
      </c>
      <c r="N52" s="57" t="s">
        <v>66</v>
      </c>
      <c r="O52" s="51">
        <f t="shared" si="63"/>
        <v>30864.19753</v>
      </c>
      <c r="P52" s="52">
        <f t="shared" si="19"/>
        <v>500000</v>
      </c>
      <c r="Q52" s="52">
        <f t="shared" si="20"/>
        <v>530864.1975</v>
      </c>
      <c r="R52" s="52">
        <f t="shared" si="21"/>
        <v>690123.4568</v>
      </c>
      <c r="S52" s="52">
        <f t="shared" si="22"/>
        <v>-530864.1975</v>
      </c>
      <c r="T52" s="52">
        <f t="shared" si="31"/>
        <v>56250</v>
      </c>
      <c r="U52" s="52">
        <f t="shared" ref="U52:AC52" si="69">T52*(1+$T$4)</f>
        <v>57937.5</v>
      </c>
      <c r="V52" s="52">
        <f t="shared" si="69"/>
        <v>59675.625</v>
      </c>
      <c r="W52" s="52">
        <f t="shared" si="69"/>
        <v>61465.89375</v>
      </c>
      <c r="X52" s="52">
        <f t="shared" si="69"/>
        <v>63309.87056</v>
      </c>
      <c r="Y52" s="52">
        <f t="shared" si="69"/>
        <v>65209.16668</v>
      </c>
      <c r="Z52" s="52">
        <f t="shared" si="69"/>
        <v>67165.44168</v>
      </c>
      <c r="AA52" s="52">
        <f t="shared" si="69"/>
        <v>69180.40493</v>
      </c>
      <c r="AB52" s="52">
        <f t="shared" si="69"/>
        <v>71255.81708</v>
      </c>
      <c r="AC52" s="52">
        <f t="shared" si="69"/>
        <v>73393.49159</v>
      </c>
      <c r="AD52" s="52">
        <f t="shared" si="56"/>
        <v>927468.2173</v>
      </c>
      <c r="AE52" s="53">
        <f t="shared" si="26"/>
        <v>0.1443011197</v>
      </c>
      <c r="AF52" s="54">
        <f t="shared" si="27"/>
        <v>9.437585734</v>
      </c>
      <c r="AG52" s="55"/>
      <c r="AH52" s="8"/>
    </row>
    <row r="53">
      <c r="A53" s="1"/>
      <c r="B53" s="58" t="s">
        <v>217</v>
      </c>
      <c r="C53" s="60" t="s">
        <v>218</v>
      </c>
      <c r="D53" s="41" t="s">
        <v>63</v>
      </c>
      <c r="E53" s="41" t="s">
        <v>216</v>
      </c>
      <c r="F53" s="1"/>
      <c r="G53" s="47">
        <v>50.0</v>
      </c>
      <c r="H53" s="44">
        <f t="shared" si="18"/>
        <v>41.66666667</v>
      </c>
      <c r="I53" s="45" t="s">
        <v>45</v>
      </c>
      <c r="J53" s="1"/>
      <c r="K53" s="47" t="s">
        <v>59</v>
      </c>
      <c r="L53" s="59"/>
      <c r="M53" s="49" t="s">
        <v>137</v>
      </c>
      <c r="N53" s="57" t="s">
        <v>66</v>
      </c>
      <c r="O53" s="51">
        <f t="shared" si="63"/>
        <v>30864.19753</v>
      </c>
      <c r="P53" s="52">
        <f t="shared" si="19"/>
        <v>500000</v>
      </c>
      <c r="Q53" s="52">
        <f t="shared" si="20"/>
        <v>530864.1975</v>
      </c>
      <c r="R53" s="52">
        <f t="shared" si="21"/>
        <v>690123.4568</v>
      </c>
      <c r="S53" s="52">
        <f t="shared" si="22"/>
        <v>-530864.1975</v>
      </c>
      <c r="T53" s="52">
        <f t="shared" si="31"/>
        <v>56250</v>
      </c>
      <c r="U53" s="52">
        <f t="shared" ref="U53:AC53" si="70">T53*(1+$T$4)</f>
        <v>57937.5</v>
      </c>
      <c r="V53" s="52">
        <f t="shared" si="70"/>
        <v>59675.625</v>
      </c>
      <c r="W53" s="52">
        <f t="shared" si="70"/>
        <v>61465.89375</v>
      </c>
      <c r="X53" s="52">
        <f t="shared" si="70"/>
        <v>63309.87056</v>
      </c>
      <c r="Y53" s="52">
        <f t="shared" si="70"/>
        <v>65209.16668</v>
      </c>
      <c r="Z53" s="52">
        <f t="shared" si="70"/>
        <v>67165.44168</v>
      </c>
      <c r="AA53" s="52">
        <f t="shared" si="70"/>
        <v>69180.40493</v>
      </c>
      <c r="AB53" s="52">
        <f t="shared" si="70"/>
        <v>71255.81708</v>
      </c>
      <c r="AC53" s="52">
        <f t="shared" si="70"/>
        <v>73393.49159</v>
      </c>
      <c r="AD53" s="52">
        <f t="shared" si="56"/>
        <v>927468.2173</v>
      </c>
      <c r="AE53" s="53">
        <f t="shared" si="26"/>
        <v>0.1443011197</v>
      </c>
      <c r="AF53" s="54">
        <f t="shared" si="27"/>
        <v>9.437585734</v>
      </c>
      <c r="AG53" s="55"/>
      <c r="AH53" s="8"/>
    </row>
    <row r="54">
      <c r="A54" s="1"/>
      <c r="B54" s="58" t="s">
        <v>219</v>
      </c>
      <c r="C54" s="60" t="s">
        <v>220</v>
      </c>
      <c r="D54" s="41" t="s">
        <v>63</v>
      </c>
      <c r="E54" s="41" t="s">
        <v>216</v>
      </c>
      <c r="F54" s="1"/>
      <c r="G54" s="47">
        <v>50.0</v>
      </c>
      <c r="H54" s="44">
        <f t="shared" si="18"/>
        <v>41.66666667</v>
      </c>
      <c r="I54" s="45" t="s">
        <v>45</v>
      </c>
      <c r="J54" s="1"/>
      <c r="K54" s="47" t="s">
        <v>59</v>
      </c>
      <c r="L54" s="59"/>
      <c r="M54" s="49" t="s">
        <v>137</v>
      </c>
      <c r="N54" s="57" t="s">
        <v>66</v>
      </c>
      <c r="O54" s="51">
        <f t="shared" si="63"/>
        <v>30864.19753</v>
      </c>
      <c r="P54" s="52">
        <f t="shared" si="19"/>
        <v>500000</v>
      </c>
      <c r="Q54" s="52">
        <f t="shared" si="20"/>
        <v>530864.1975</v>
      </c>
      <c r="R54" s="52">
        <f t="shared" si="21"/>
        <v>690123.4568</v>
      </c>
      <c r="S54" s="52">
        <f t="shared" si="22"/>
        <v>-530864.1975</v>
      </c>
      <c r="T54" s="52">
        <f t="shared" si="31"/>
        <v>56250</v>
      </c>
      <c r="U54" s="52">
        <f t="shared" ref="U54:AC54" si="71">T54*(1+$T$4)</f>
        <v>57937.5</v>
      </c>
      <c r="V54" s="52">
        <f t="shared" si="71"/>
        <v>59675.625</v>
      </c>
      <c r="W54" s="52">
        <f t="shared" si="71"/>
        <v>61465.89375</v>
      </c>
      <c r="X54" s="52">
        <f t="shared" si="71"/>
        <v>63309.87056</v>
      </c>
      <c r="Y54" s="52">
        <f t="shared" si="71"/>
        <v>65209.16668</v>
      </c>
      <c r="Z54" s="52">
        <f t="shared" si="71"/>
        <v>67165.44168</v>
      </c>
      <c r="AA54" s="52">
        <f t="shared" si="71"/>
        <v>69180.40493</v>
      </c>
      <c r="AB54" s="52">
        <f t="shared" si="71"/>
        <v>71255.81708</v>
      </c>
      <c r="AC54" s="52">
        <f t="shared" si="71"/>
        <v>73393.49159</v>
      </c>
      <c r="AD54" s="52">
        <f t="shared" si="56"/>
        <v>927468.2173</v>
      </c>
      <c r="AE54" s="53">
        <f t="shared" si="26"/>
        <v>0.1443011197</v>
      </c>
      <c r="AF54" s="54">
        <f t="shared" si="27"/>
        <v>9.437585734</v>
      </c>
      <c r="AG54" s="55"/>
      <c r="AH54" s="8"/>
    </row>
    <row r="55">
      <c r="A55" s="1"/>
      <c r="B55" s="58" t="s">
        <v>221</v>
      </c>
      <c r="C55" s="60" t="s">
        <v>222</v>
      </c>
      <c r="D55" s="41" t="s">
        <v>223</v>
      </c>
      <c r="E55" s="41" t="s">
        <v>224</v>
      </c>
      <c r="F55" s="1"/>
      <c r="G55" s="47">
        <v>50.0</v>
      </c>
      <c r="H55" s="44">
        <f t="shared" si="18"/>
        <v>41.66666667</v>
      </c>
      <c r="I55" s="45" t="s">
        <v>45</v>
      </c>
      <c r="J55" s="1"/>
      <c r="K55" s="47" t="s">
        <v>59</v>
      </c>
      <c r="L55" s="59"/>
      <c r="M55" s="49" t="s">
        <v>137</v>
      </c>
      <c r="N55" s="65" t="s">
        <v>66</v>
      </c>
      <c r="O55" s="51">
        <f t="shared" si="63"/>
        <v>30864.19753</v>
      </c>
      <c r="P55" s="52">
        <f t="shared" si="19"/>
        <v>500000</v>
      </c>
      <c r="Q55" s="52">
        <f t="shared" si="20"/>
        <v>530864.1975</v>
      </c>
      <c r="R55" s="52">
        <f t="shared" si="21"/>
        <v>690123.4568</v>
      </c>
      <c r="S55" s="52">
        <f t="shared" si="22"/>
        <v>-530864.1975</v>
      </c>
      <c r="T55" s="52">
        <f t="shared" si="31"/>
        <v>56250</v>
      </c>
      <c r="U55" s="52">
        <f t="shared" ref="U55:AC55" si="72">T55*(1+$T$4)</f>
        <v>57937.5</v>
      </c>
      <c r="V55" s="52">
        <f t="shared" si="72"/>
        <v>59675.625</v>
      </c>
      <c r="W55" s="52">
        <f t="shared" si="72"/>
        <v>61465.89375</v>
      </c>
      <c r="X55" s="52">
        <f t="shared" si="72"/>
        <v>63309.87056</v>
      </c>
      <c r="Y55" s="52">
        <f t="shared" si="72"/>
        <v>65209.16668</v>
      </c>
      <c r="Z55" s="52">
        <f t="shared" si="72"/>
        <v>67165.44168</v>
      </c>
      <c r="AA55" s="52">
        <f t="shared" si="72"/>
        <v>69180.40493</v>
      </c>
      <c r="AB55" s="52">
        <f t="shared" si="72"/>
        <v>71255.81708</v>
      </c>
      <c r="AC55" s="52">
        <f t="shared" si="72"/>
        <v>73393.49159</v>
      </c>
      <c r="AD55" s="52">
        <f t="shared" si="56"/>
        <v>927468.2173</v>
      </c>
      <c r="AE55" s="53">
        <f t="shared" si="26"/>
        <v>0.1443011197</v>
      </c>
      <c r="AF55" s="54">
        <f t="shared" si="27"/>
        <v>9.437585734</v>
      </c>
      <c r="AG55" s="66"/>
      <c r="AH55" s="7"/>
    </row>
    <row r="56">
      <c r="A56" s="1"/>
      <c r="B56" s="58" t="s">
        <v>225</v>
      </c>
      <c r="C56" s="60" t="s">
        <v>226</v>
      </c>
      <c r="D56" s="41" t="s">
        <v>42</v>
      </c>
      <c r="E56" s="41" t="s">
        <v>227</v>
      </c>
      <c r="F56" s="47" t="s">
        <v>53</v>
      </c>
      <c r="G56" s="47">
        <v>10.0</v>
      </c>
      <c r="H56" s="44">
        <f t="shared" si="18"/>
        <v>8.333333333</v>
      </c>
      <c r="I56" s="45" t="s">
        <v>45</v>
      </c>
      <c r="J56" s="1"/>
      <c r="K56" s="47" t="s">
        <v>54</v>
      </c>
      <c r="L56" s="48">
        <v>1.0</v>
      </c>
      <c r="M56" s="49" t="s">
        <v>112</v>
      </c>
      <c r="N56" s="67" t="s">
        <v>228</v>
      </c>
      <c r="O56" s="61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62"/>
      <c r="AF56" s="63"/>
      <c r="AG56" s="66"/>
      <c r="AH56" s="7"/>
    </row>
    <row r="57">
      <c r="A57" s="1"/>
      <c r="B57" s="58" t="s">
        <v>229</v>
      </c>
      <c r="C57" s="9"/>
      <c r="D57" s="1"/>
      <c r="E57" s="1"/>
      <c r="F57" s="1"/>
      <c r="G57" s="1"/>
      <c r="H57" s="63"/>
      <c r="I57" s="7"/>
      <c r="J57" s="1"/>
      <c r="K57" s="1"/>
      <c r="L57" s="59"/>
      <c r="M57" s="16"/>
      <c r="N57" s="16"/>
      <c r="O57" s="61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62"/>
      <c r="AF57" s="63"/>
      <c r="AG57" s="66"/>
      <c r="AH57" s="7"/>
    </row>
    <row r="58">
      <c r="A58" s="1"/>
      <c r="B58" s="58" t="s">
        <v>230</v>
      </c>
      <c r="C58" s="9"/>
      <c r="D58" s="1"/>
      <c r="E58" s="1"/>
      <c r="F58" s="1"/>
      <c r="G58" s="1"/>
      <c r="H58" s="63"/>
      <c r="I58" s="7"/>
      <c r="J58" s="1"/>
      <c r="K58" s="1"/>
      <c r="L58" s="59"/>
      <c r="M58" s="16"/>
      <c r="N58" s="16"/>
      <c r="O58" s="61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62"/>
      <c r="AF58" s="63"/>
      <c r="AG58" s="66"/>
      <c r="AH58" s="7"/>
    </row>
    <row r="59">
      <c r="A59" s="1"/>
      <c r="B59" s="58" t="s">
        <v>231</v>
      </c>
      <c r="C59" s="9"/>
      <c r="D59" s="1"/>
      <c r="E59" s="1"/>
      <c r="F59" s="1"/>
      <c r="G59" s="1"/>
      <c r="H59" s="63"/>
      <c r="I59" s="7"/>
      <c r="J59" s="1"/>
      <c r="K59" s="1"/>
      <c r="L59" s="59"/>
      <c r="M59" s="16"/>
      <c r="N59" s="16"/>
      <c r="O59" s="61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62"/>
      <c r="AF59" s="63"/>
      <c r="AG59" s="66"/>
      <c r="AH59" s="7"/>
    </row>
    <row r="60">
      <c r="A60" s="1"/>
      <c r="B60" s="58" t="s">
        <v>232</v>
      </c>
      <c r="C60" s="9"/>
      <c r="D60" s="1"/>
      <c r="E60" s="1"/>
      <c r="F60" s="1"/>
      <c r="G60" s="1"/>
      <c r="H60" s="63"/>
      <c r="I60" s="7"/>
      <c r="J60" s="1"/>
      <c r="K60" s="1"/>
      <c r="L60" s="59"/>
      <c r="M60" s="16"/>
      <c r="N60" s="16"/>
      <c r="O60" s="61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62"/>
      <c r="AF60" s="63"/>
      <c r="AG60" s="66"/>
      <c r="AH60" s="7"/>
    </row>
    <row r="61">
      <c r="A61" s="1"/>
      <c r="B61" s="9"/>
      <c r="C61" s="9"/>
      <c r="D61" s="1"/>
      <c r="E61" s="1"/>
      <c r="F61" s="1"/>
      <c r="G61" s="1"/>
      <c r="H61" s="7"/>
      <c r="I61" s="68"/>
      <c r="J61" s="68"/>
      <c r="K61" s="1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7"/>
      <c r="AH61" s="7"/>
    </row>
    <row r="62">
      <c r="A62" s="1"/>
      <c r="B62" s="9"/>
      <c r="C62" s="9"/>
      <c r="D62" s="1"/>
      <c r="E62" s="1"/>
      <c r="F62" s="7"/>
      <c r="G62" s="7"/>
      <c r="H62" s="44">
        <f>SUM(H7:H60)</f>
        <v>7566.666667</v>
      </c>
      <c r="I62" s="69" t="s">
        <v>45</v>
      </c>
      <c r="J62" s="16"/>
      <c r="K62" s="1"/>
      <c r="L62" s="16"/>
      <c r="M62" s="16"/>
      <c r="N62" s="16"/>
      <c r="O62" s="13">
        <f t="shared" ref="O62:T62" si="73">SUM(O7:O60)</f>
        <v>10259709.19</v>
      </c>
      <c r="P62" s="13">
        <f t="shared" si="73"/>
        <v>90700000</v>
      </c>
      <c r="Q62" s="13">
        <f t="shared" si="73"/>
        <v>100959709.2</v>
      </c>
      <c r="R62" s="13">
        <f t="shared" si="73"/>
        <v>131247621.9</v>
      </c>
      <c r="S62" s="13">
        <f t="shared" si="73"/>
        <v>-100959709.2</v>
      </c>
      <c r="T62" s="13">
        <f t="shared" si="73"/>
        <v>10203750</v>
      </c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7"/>
      <c r="AH62" s="7"/>
    </row>
    <row r="63">
      <c r="A63" s="1"/>
      <c r="B63" s="9"/>
      <c r="C63" s="9"/>
      <c r="D63" s="1"/>
      <c r="E63" s="1"/>
      <c r="F63" s="1"/>
      <c r="G63" s="1"/>
      <c r="H63" s="7"/>
      <c r="I63" s="68"/>
      <c r="J63" s="68"/>
      <c r="K63" s="1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7"/>
      <c r="AH63" s="7"/>
    </row>
    <row r="64">
      <c r="A64" s="1"/>
      <c r="B64" s="1"/>
      <c r="C64" s="9"/>
      <c r="D64" s="1"/>
      <c r="E64" s="1"/>
      <c r="F64" s="1"/>
      <c r="G64" s="1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70"/>
      <c r="AH64" s="70"/>
    </row>
    <row r="65">
      <c r="A65" s="1"/>
      <c r="B65" s="1"/>
      <c r="C65" s="1"/>
      <c r="D65" s="1"/>
      <c r="E65" s="1"/>
      <c r="F65" s="7"/>
      <c r="G65" s="7"/>
      <c r="H65" s="68"/>
      <c r="I65" s="68"/>
      <c r="J65" s="68"/>
      <c r="K65" s="16"/>
      <c r="L65" s="68"/>
      <c r="M65" s="16"/>
      <c r="N65" s="16"/>
      <c r="O65" s="16"/>
      <c r="P65" s="16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>
      <c r="A66" s="1"/>
      <c r="B66" s="1"/>
      <c r="C66" s="1"/>
      <c r="D66" s="1"/>
      <c r="E66" s="1"/>
      <c r="F66" s="1"/>
      <c r="G66" s="1"/>
      <c r="H66" s="68"/>
      <c r="I66" s="68"/>
      <c r="J66" s="68"/>
      <c r="K66" s="68"/>
      <c r="L66" s="68"/>
      <c r="M66" s="16"/>
      <c r="N66" s="16"/>
      <c r="O66" s="16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>
      <c r="A67" s="1"/>
      <c r="B67" s="1"/>
      <c r="C67" s="1"/>
      <c r="D67" s="1"/>
      <c r="E67" s="1"/>
      <c r="F67" s="1"/>
      <c r="G67" s="1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>
      <c r="A68" s="1"/>
      <c r="B68" s="1"/>
      <c r="C68" s="1"/>
      <c r="D68" s="1"/>
      <c r="E68" s="1"/>
      <c r="F68" s="1"/>
      <c r="G68" s="1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>
      <c r="A69" s="1"/>
      <c r="B69" s="1"/>
      <c r="C69" s="1"/>
      <c r="D69" s="1"/>
      <c r="E69" s="1"/>
      <c r="F69" s="1"/>
      <c r="G69" s="1"/>
      <c r="H69" s="68"/>
      <c r="I69" s="68"/>
      <c r="J69" s="68"/>
      <c r="K69" s="68"/>
      <c r="L69" s="68"/>
      <c r="M69" s="68"/>
      <c r="N69" s="16"/>
      <c r="O69" s="68"/>
      <c r="P69" s="68"/>
      <c r="Q69" s="71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</row>
    <row r="70">
      <c r="A70" s="1"/>
      <c r="B70" s="1"/>
      <c r="C70" s="1"/>
      <c r="D70" s="1"/>
      <c r="E70" s="1"/>
      <c r="F70" s="1"/>
      <c r="G70" s="1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>
      <c r="A71" s="1"/>
      <c r="B71" s="1"/>
      <c r="C71" s="1"/>
      <c r="D71" s="1"/>
      <c r="E71" s="1"/>
      <c r="F71" s="1"/>
      <c r="G71" s="1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7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1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  <c r="AF1018" s="72"/>
      <c r="AG1018" s="72"/>
      <c r="AH1018" s="72"/>
    </row>
    <row r="1019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1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  <c r="AF1019" s="72"/>
      <c r="AG1019" s="72"/>
      <c r="AH1019" s="72"/>
    </row>
    <row r="1020">
      <c r="A1020" s="72"/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1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  <c r="AF1020" s="72"/>
      <c r="AG1020" s="72"/>
      <c r="AH1020" s="72"/>
    </row>
    <row r="1021">
      <c r="A1021" s="72"/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1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  <c r="AF1021" s="72"/>
      <c r="AG1021" s="72"/>
      <c r="AH1021" s="72"/>
    </row>
    <row r="1022">
      <c r="A1022" s="72"/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1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  <c r="AF1022" s="72"/>
      <c r="AG1022" s="72"/>
      <c r="AH1022" s="72"/>
    </row>
    <row r="1023">
      <c r="A1023" s="72"/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1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  <c r="AF1023" s="72"/>
      <c r="AG1023" s="72"/>
      <c r="AH1023" s="72"/>
    </row>
    <row r="1024">
      <c r="A1024" s="72"/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1"/>
      <c r="N1024" s="72"/>
      <c r="O1024" s="72"/>
      <c r="P1024" s="72"/>
      <c r="Q1024" s="72"/>
      <c r="R1024" s="72"/>
      <c r="S1024" s="72"/>
      <c r="T1024" s="72"/>
      <c r="U1024" s="72"/>
      <c r="V1024" s="72"/>
      <c r="W1024" s="72"/>
      <c r="X1024" s="72"/>
      <c r="Y1024" s="72"/>
      <c r="Z1024" s="72"/>
      <c r="AA1024" s="72"/>
      <c r="AB1024" s="72"/>
      <c r="AC1024" s="72"/>
      <c r="AD1024" s="72"/>
      <c r="AE1024" s="72"/>
      <c r="AF1024" s="72"/>
      <c r="AG1024" s="72"/>
      <c r="AH1024" s="72"/>
    </row>
    <row r="1025">
      <c r="A1025" s="72"/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1"/>
      <c r="N1025" s="72"/>
      <c r="O1025" s="72"/>
      <c r="P1025" s="72"/>
      <c r="Q1025" s="72"/>
      <c r="R1025" s="72"/>
      <c r="S1025" s="72"/>
      <c r="T1025" s="72"/>
      <c r="U1025" s="72"/>
      <c r="V1025" s="72"/>
      <c r="W1025" s="72"/>
      <c r="X1025" s="72"/>
      <c r="Y1025" s="72"/>
      <c r="Z1025" s="72"/>
      <c r="AA1025" s="72"/>
      <c r="AB1025" s="72"/>
      <c r="AC1025" s="72"/>
      <c r="AD1025" s="72"/>
      <c r="AE1025" s="72"/>
      <c r="AF1025" s="72"/>
      <c r="AG1025" s="72"/>
      <c r="AH1025" s="72"/>
    </row>
    <row r="1026">
      <c r="A1026" s="72"/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1"/>
      <c r="N1026" s="72"/>
      <c r="O1026" s="72"/>
      <c r="P1026" s="72"/>
      <c r="Q1026" s="72"/>
      <c r="R1026" s="72"/>
      <c r="S1026" s="72"/>
      <c r="T1026" s="72"/>
      <c r="U1026" s="72"/>
      <c r="V1026" s="72"/>
      <c r="W1026" s="72"/>
      <c r="X1026" s="72"/>
      <c r="Y1026" s="72"/>
      <c r="Z1026" s="72"/>
      <c r="AA1026" s="72"/>
      <c r="AB1026" s="72"/>
      <c r="AC1026" s="72"/>
      <c r="AD1026" s="72"/>
      <c r="AE1026" s="72"/>
      <c r="AF1026" s="72"/>
      <c r="AG1026" s="72"/>
      <c r="AH1026" s="72"/>
    </row>
    <row r="1027">
      <c r="A1027" s="72"/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1"/>
      <c r="N1027" s="72"/>
      <c r="O1027" s="72"/>
      <c r="P1027" s="72"/>
      <c r="Q1027" s="72"/>
      <c r="R1027" s="72"/>
      <c r="S1027" s="72"/>
      <c r="T1027" s="72"/>
      <c r="U1027" s="72"/>
      <c r="V1027" s="72"/>
      <c r="W1027" s="72"/>
      <c r="X1027" s="72"/>
      <c r="Y1027" s="72"/>
      <c r="Z1027" s="72"/>
      <c r="AA1027" s="72"/>
      <c r="AB1027" s="72"/>
      <c r="AC1027" s="72"/>
      <c r="AD1027" s="72"/>
      <c r="AE1027" s="72"/>
      <c r="AF1027" s="72"/>
      <c r="AG1027" s="72"/>
      <c r="AH1027" s="72"/>
    </row>
    <row r="1028">
      <c r="A1028" s="72"/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1"/>
      <c r="N1028" s="72"/>
      <c r="O1028" s="72"/>
      <c r="P1028" s="72"/>
      <c r="Q1028" s="72"/>
      <c r="R1028" s="72"/>
      <c r="S1028" s="72"/>
      <c r="T1028" s="72"/>
      <c r="U1028" s="72"/>
      <c r="V1028" s="72"/>
      <c r="W1028" s="72"/>
      <c r="X1028" s="72"/>
      <c r="Y1028" s="72"/>
      <c r="Z1028" s="72"/>
      <c r="AA1028" s="72"/>
      <c r="AB1028" s="72"/>
      <c r="AC1028" s="72"/>
      <c r="AD1028" s="72"/>
      <c r="AE1028" s="72"/>
      <c r="AF1028" s="72"/>
      <c r="AG1028" s="72"/>
      <c r="AH1028" s="72"/>
    </row>
    <row r="1029">
      <c r="A1029" s="72"/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1"/>
      <c r="N1029" s="72"/>
      <c r="O1029" s="72"/>
      <c r="P1029" s="72"/>
      <c r="Q1029" s="72"/>
      <c r="R1029" s="72"/>
      <c r="S1029" s="72"/>
      <c r="T1029" s="72"/>
      <c r="U1029" s="72"/>
      <c r="V1029" s="72"/>
      <c r="W1029" s="72"/>
      <c r="X1029" s="72"/>
      <c r="Y1029" s="72"/>
      <c r="Z1029" s="72"/>
      <c r="AA1029" s="72"/>
      <c r="AB1029" s="72"/>
      <c r="AC1029" s="72"/>
      <c r="AD1029" s="72"/>
      <c r="AE1029" s="72"/>
      <c r="AF1029" s="72"/>
      <c r="AG1029" s="72"/>
      <c r="AH1029" s="72"/>
    </row>
    <row r="1030">
      <c r="A1030" s="72"/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1"/>
      <c r="N1030" s="72"/>
      <c r="O1030" s="72"/>
      <c r="P1030" s="72"/>
      <c r="Q1030" s="72"/>
      <c r="R1030" s="72"/>
      <c r="S1030" s="72"/>
      <c r="T1030" s="72"/>
      <c r="U1030" s="72"/>
      <c r="V1030" s="72"/>
      <c r="W1030" s="72"/>
      <c r="X1030" s="72"/>
      <c r="Y1030" s="72"/>
      <c r="Z1030" s="72"/>
      <c r="AA1030" s="72"/>
      <c r="AB1030" s="72"/>
      <c r="AC1030" s="72"/>
      <c r="AD1030" s="72"/>
      <c r="AE1030" s="72"/>
      <c r="AF1030" s="72"/>
      <c r="AG1030" s="72"/>
      <c r="AH1030" s="72"/>
    </row>
    <row r="1031">
      <c r="A1031" s="72"/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1"/>
      <c r="N1031" s="72"/>
      <c r="O1031" s="72"/>
      <c r="P1031" s="72"/>
      <c r="Q1031" s="72"/>
      <c r="R1031" s="72"/>
      <c r="S1031" s="72"/>
      <c r="T1031" s="72"/>
      <c r="U1031" s="72"/>
      <c r="V1031" s="72"/>
      <c r="W1031" s="72"/>
      <c r="X1031" s="72"/>
      <c r="Y1031" s="72"/>
      <c r="Z1031" s="72"/>
      <c r="AA1031" s="72"/>
      <c r="AB1031" s="72"/>
      <c r="AC1031" s="72"/>
      <c r="AD1031" s="72"/>
      <c r="AE1031" s="72"/>
      <c r="AF1031" s="72"/>
      <c r="AG1031" s="72"/>
      <c r="AH1031" s="72"/>
    </row>
    <row r="1032">
      <c r="A1032" s="72"/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1"/>
      <c r="N1032" s="72"/>
      <c r="O1032" s="72"/>
      <c r="P1032" s="72"/>
      <c r="Q1032" s="72"/>
      <c r="R1032" s="72"/>
      <c r="S1032" s="72"/>
      <c r="T1032" s="72"/>
      <c r="U1032" s="72"/>
      <c r="V1032" s="72"/>
      <c r="W1032" s="72"/>
      <c r="X1032" s="72"/>
      <c r="Y1032" s="72"/>
      <c r="Z1032" s="72"/>
      <c r="AA1032" s="72"/>
      <c r="AB1032" s="72"/>
      <c r="AC1032" s="72"/>
      <c r="AD1032" s="72"/>
      <c r="AE1032" s="72"/>
      <c r="AF1032" s="72"/>
      <c r="AG1032" s="72"/>
      <c r="AH1032" s="72"/>
    </row>
    <row r="1033">
      <c r="A1033" s="72"/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1"/>
      <c r="N1033" s="72"/>
      <c r="O1033" s="72"/>
      <c r="P1033" s="72"/>
      <c r="Q1033" s="72"/>
      <c r="R1033" s="72"/>
      <c r="S1033" s="72"/>
      <c r="T1033" s="72"/>
      <c r="U1033" s="72"/>
      <c r="V1033" s="72"/>
      <c r="W1033" s="72"/>
      <c r="X1033" s="72"/>
      <c r="Y1033" s="72"/>
      <c r="Z1033" s="72"/>
      <c r="AA1033" s="72"/>
      <c r="AB1033" s="72"/>
      <c r="AC1033" s="72"/>
      <c r="AD1033" s="72"/>
      <c r="AE1033" s="72"/>
      <c r="AF1033" s="72"/>
      <c r="AG1033" s="72"/>
      <c r="AH1033" s="72"/>
    </row>
    <row r="1034">
      <c r="A1034" s="72"/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1"/>
      <c r="N1034" s="72"/>
      <c r="O1034" s="72"/>
      <c r="P1034" s="72"/>
      <c r="Q1034" s="72"/>
      <c r="R1034" s="72"/>
      <c r="S1034" s="72"/>
      <c r="T1034" s="72"/>
      <c r="U1034" s="72"/>
      <c r="V1034" s="72"/>
      <c r="W1034" s="72"/>
      <c r="X1034" s="72"/>
      <c r="Y1034" s="72"/>
      <c r="Z1034" s="72"/>
      <c r="AA1034" s="72"/>
      <c r="AB1034" s="72"/>
      <c r="AC1034" s="72"/>
      <c r="AD1034" s="72"/>
      <c r="AE1034" s="72"/>
      <c r="AF1034" s="72"/>
      <c r="AG1034" s="72"/>
      <c r="AH1034" s="72"/>
    </row>
    <row r="1035">
      <c r="A1035" s="72"/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1"/>
      <c r="N1035" s="72"/>
      <c r="O1035" s="72"/>
      <c r="P1035" s="72"/>
      <c r="Q1035" s="72"/>
      <c r="R1035" s="72"/>
      <c r="S1035" s="72"/>
      <c r="T1035" s="72"/>
      <c r="U1035" s="72"/>
      <c r="V1035" s="72"/>
      <c r="W1035" s="72"/>
      <c r="X1035" s="72"/>
      <c r="Y1035" s="72"/>
      <c r="Z1035" s="72"/>
      <c r="AA1035" s="72"/>
      <c r="AB1035" s="72"/>
      <c r="AC1035" s="72"/>
      <c r="AD1035" s="72"/>
      <c r="AE1035" s="72"/>
      <c r="AF1035" s="72"/>
      <c r="AG1035" s="72"/>
      <c r="AH1035" s="72"/>
    </row>
    <row r="1036">
      <c r="A1036" s="72"/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1"/>
      <c r="N1036" s="72"/>
      <c r="O1036" s="72"/>
      <c r="P1036" s="72"/>
      <c r="Q1036" s="72"/>
      <c r="R1036" s="72"/>
      <c r="S1036" s="72"/>
      <c r="T1036" s="72"/>
      <c r="U1036" s="72"/>
      <c r="V1036" s="72"/>
      <c r="W1036" s="72"/>
      <c r="X1036" s="72"/>
      <c r="Y1036" s="72"/>
      <c r="Z1036" s="72"/>
      <c r="AA1036" s="72"/>
      <c r="AB1036" s="72"/>
      <c r="AC1036" s="72"/>
      <c r="AD1036" s="72"/>
      <c r="AE1036" s="72"/>
      <c r="AF1036" s="72"/>
      <c r="AG1036" s="72"/>
      <c r="AH1036" s="72"/>
    </row>
    <row r="1037">
      <c r="A1037" s="72"/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1"/>
      <c r="N1037" s="72"/>
      <c r="O1037" s="72"/>
      <c r="P1037" s="72"/>
      <c r="Q1037" s="72"/>
      <c r="R1037" s="72"/>
      <c r="S1037" s="72"/>
      <c r="T1037" s="72"/>
      <c r="U1037" s="72"/>
      <c r="V1037" s="72"/>
      <c r="W1037" s="72"/>
      <c r="X1037" s="72"/>
      <c r="Y1037" s="72"/>
      <c r="Z1037" s="72"/>
      <c r="AA1037" s="72"/>
      <c r="AB1037" s="72"/>
      <c r="AC1037" s="72"/>
      <c r="AD1037" s="72"/>
      <c r="AE1037" s="72"/>
      <c r="AF1037" s="72"/>
      <c r="AG1037" s="72"/>
      <c r="AH1037" s="72"/>
    </row>
    <row r="1038">
      <c r="A1038" s="72"/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1"/>
      <c r="N1038" s="72"/>
      <c r="O1038" s="72"/>
      <c r="P1038" s="72"/>
      <c r="Q1038" s="72"/>
      <c r="R1038" s="72"/>
      <c r="S1038" s="72"/>
      <c r="T1038" s="72"/>
      <c r="U1038" s="72"/>
      <c r="V1038" s="72"/>
      <c r="W1038" s="72"/>
      <c r="X1038" s="72"/>
      <c r="Y1038" s="72"/>
      <c r="Z1038" s="72"/>
      <c r="AA1038" s="72"/>
      <c r="AB1038" s="72"/>
      <c r="AC1038" s="72"/>
      <c r="AD1038" s="72"/>
      <c r="AE1038" s="72"/>
      <c r="AF1038" s="72"/>
      <c r="AG1038" s="72"/>
      <c r="AH1038" s="72"/>
    </row>
    <row r="1039">
      <c r="A1039" s="72"/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1"/>
      <c r="N1039" s="72"/>
      <c r="O1039" s="72"/>
      <c r="P1039" s="72"/>
      <c r="Q1039" s="72"/>
      <c r="R1039" s="72"/>
      <c r="S1039" s="72"/>
      <c r="T1039" s="72"/>
      <c r="U1039" s="72"/>
      <c r="V1039" s="72"/>
      <c r="W1039" s="72"/>
      <c r="X1039" s="72"/>
      <c r="Y1039" s="72"/>
      <c r="Z1039" s="72"/>
      <c r="AA1039" s="72"/>
      <c r="AB1039" s="72"/>
      <c r="AC1039" s="72"/>
      <c r="AD1039" s="72"/>
      <c r="AE1039" s="72"/>
      <c r="AF1039" s="72"/>
      <c r="AG1039" s="72"/>
      <c r="AH1039" s="72"/>
    </row>
    <row r="1040">
      <c r="A1040" s="72"/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1"/>
      <c r="N1040" s="72"/>
      <c r="O1040" s="72"/>
      <c r="P1040" s="72"/>
      <c r="Q1040" s="72"/>
      <c r="R1040" s="72"/>
      <c r="S1040" s="72"/>
      <c r="T1040" s="72"/>
      <c r="U1040" s="72"/>
      <c r="V1040" s="72"/>
      <c r="W1040" s="72"/>
      <c r="X1040" s="72"/>
      <c r="Y1040" s="72"/>
      <c r="Z1040" s="72"/>
      <c r="AA1040" s="72"/>
      <c r="AB1040" s="72"/>
      <c r="AC1040" s="72"/>
      <c r="AD1040" s="72"/>
      <c r="AE1040" s="72"/>
      <c r="AF1040" s="72"/>
      <c r="AG1040" s="72"/>
      <c r="AH1040" s="72"/>
    </row>
    <row r="1041">
      <c r="A1041" s="72"/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1"/>
      <c r="N1041" s="72"/>
      <c r="O1041" s="72"/>
      <c r="P1041" s="72"/>
      <c r="Q1041" s="72"/>
      <c r="R1041" s="72"/>
      <c r="S1041" s="72"/>
      <c r="T1041" s="72"/>
      <c r="U1041" s="72"/>
      <c r="V1041" s="72"/>
      <c r="W1041" s="72"/>
      <c r="X1041" s="72"/>
      <c r="Y1041" s="72"/>
      <c r="Z1041" s="72"/>
      <c r="AA1041" s="72"/>
      <c r="AB1041" s="72"/>
      <c r="AC1041" s="72"/>
      <c r="AD1041" s="72"/>
      <c r="AE1041" s="72"/>
      <c r="AF1041" s="72"/>
      <c r="AG1041" s="72"/>
      <c r="AH1041" s="72"/>
    </row>
    <row r="1042">
      <c r="A1042" s="72"/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1"/>
      <c r="N1042" s="72"/>
      <c r="O1042" s="72"/>
      <c r="P1042" s="72"/>
      <c r="Q1042" s="72"/>
      <c r="R1042" s="72"/>
      <c r="S1042" s="72"/>
      <c r="T1042" s="72"/>
      <c r="U1042" s="72"/>
      <c r="V1042" s="72"/>
      <c r="W1042" s="72"/>
      <c r="X1042" s="72"/>
      <c r="Y1042" s="72"/>
      <c r="Z1042" s="72"/>
      <c r="AA1042" s="72"/>
      <c r="AB1042" s="72"/>
      <c r="AC1042" s="72"/>
      <c r="AD1042" s="72"/>
      <c r="AE1042" s="72"/>
      <c r="AF1042" s="72"/>
      <c r="AG1042" s="72"/>
      <c r="AH1042" s="72"/>
    </row>
    <row r="1043">
      <c r="A1043" s="73"/>
      <c r="B1043" s="73"/>
      <c r="C1043" s="73"/>
      <c r="D1043" s="73"/>
      <c r="E1043" s="73"/>
      <c r="F1043" s="73"/>
      <c r="G1043" s="73"/>
      <c r="H1043" s="73"/>
      <c r="I1043" s="73"/>
      <c r="J1043" s="73"/>
      <c r="K1043" s="73"/>
      <c r="L1043" s="73"/>
      <c r="M1043" s="74"/>
      <c r="N1043" s="73"/>
      <c r="O1043" s="73"/>
      <c r="P1043" s="73"/>
      <c r="Q1043" s="73"/>
      <c r="R1043" s="73"/>
      <c r="S1043" s="73"/>
      <c r="T1043" s="73"/>
      <c r="U1043" s="73"/>
      <c r="V1043" s="73"/>
      <c r="W1043" s="73"/>
      <c r="X1043" s="73"/>
      <c r="Y1043" s="73"/>
      <c r="Z1043" s="73"/>
      <c r="AA1043" s="73"/>
      <c r="AB1043" s="73"/>
      <c r="AC1043" s="73"/>
      <c r="AD1043" s="73"/>
      <c r="AE1043" s="73"/>
      <c r="AF1043" s="73"/>
      <c r="AG1043" s="73"/>
      <c r="AH1043" s="73"/>
    </row>
    <row r="1044">
      <c r="A1044" s="73"/>
      <c r="B1044" s="73"/>
      <c r="C1044" s="73"/>
      <c r="D1044" s="73"/>
      <c r="E1044" s="73"/>
      <c r="F1044" s="73"/>
      <c r="G1044" s="73"/>
      <c r="H1044" s="73"/>
      <c r="I1044" s="73"/>
      <c r="J1044" s="73"/>
      <c r="K1044" s="73"/>
      <c r="L1044" s="73"/>
      <c r="M1044" s="74"/>
      <c r="N1044" s="73"/>
      <c r="O1044" s="73"/>
      <c r="P1044" s="73"/>
      <c r="Q1044" s="73"/>
      <c r="R1044" s="73"/>
      <c r="S1044" s="73"/>
      <c r="T1044" s="73"/>
      <c r="U1044" s="73"/>
      <c r="V1044" s="73"/>
      <c r="W1044" s="73"/>
      <c r="X1044" s="73"/>
      <c r="Y1044" s="73"/>
      <c r="Z1044" s="73"/>
      <c r="AA1044" s="73"/>
      <c r="AB1044" s="73"/>
      <c r="AC1044" s="73"/>
      <c r="AD1044" s="73"/>
      <c r="AE1044" s="73"/>
      <c r="AF1044" s="73"/>
      <c r="AG1044" s="73"/>
      <c r="AH1044" s="73"/>
    </row>
    <row r="1045">
      <c r="A1045" s="73"/>
      <c r="B1045" s="73"/>
      <c r="C1045" s="73"/>
      <c r="D1045" s="73"/>
      <c r="E1045" s="73"/>
      <c r="F1045" s="73"/>
      <c r="G1045" s="73"/>
      <c r="H1045" s="73"/>
      <c r="I1045" s="73"/>
      <c r="J1045" s="73"/>
      <c r="K1045" s="73"/>
      <c r="L1045" s="73"/>
      <c r="M1045" s="74"/>
      <c r="N1045" s="73"/>
      <c r="O1045" s="73"/>
      <c r="P1045" s="73"/>
      <c r="Q1045" s="73"/>
      <c r="R1045" s="73"/>
      <c r="S1045" s="73"/>
      <c r="T1045" s="73"/>
      <c r="U1045" s="73"/>
      <c r="V1045" s="73"/>
      <c r="W1045" s="73"/>
      <c r="X1045" s="73"/>
      <c r="Y1045" s="73"/>
      <c r="Z1045" s="73"/>
      <c r="AA1045" s="73"/>
      <c r="AB1045" s="73"/>
      <c r="AC1045" s="73"/>
      <c r="AD1045" s="73"/>
      <c r="AE1045" s="73"/>
      <c r="AF1045" s="73"/>
      <c r="AG1045" s="73"/>
      <c r="AH1045" s="73"/>
    </row>
  </sheetData>
  <autoFilter ref="$B$6:$AF$60">
    <sortState ref="B6:AF60">
      <sortCondition ref="J6:J60"/>
    </sortState>
  </autoFilter>
  <dataValidations>
    <dataValidation type="list" allowBlank="1" showErrorMessage="1" sqref="M7:M56">
      <formula1>"0. Archived,1. Site Identified,1a. Site Reviewed,2. Test Fit / Power,3. Deal Development,4. Under Offer,5. Exclusivity / Option Secured,6. Design &amp; Procurement,6a. End User Engagement,7. On Site,8. Live"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4.0"/>
    <col customWidth="1" min="7" max="7" width="13.75"/>
  </cols>
  <sheetData>
    <row r="1">
      <c r="B1" s="75"/>
      <c r="D1" s="75"/>
    </row>
    <row r="2">
      <c r="B2" s="75" t="s">
        <v>233</v>
      </c>
      <c r="C2" s="76">
        <v>100.0</v>
      </c>
      <c r="D2" s="75" t="s">
        <v>45</v>
      </c>
      <c r="F2" s="76">
        <v>100.0</v>
      </c>
      <c r="G2" s="75" t="s">
        <v>45</v>
      </c>
      <c r="H2" s="77"/>
    </row>
    <row r="3">
      <c r="B3" s="75" t="s">
        <v>8</v>
      </c>
      <c r="C3" s="76">
        <v>1.2</v>
      </c>
      <c r="F3" s="76">
        <v>1.2</v>
      </c>
      <c r="H3" s="78"/>
    </row>
    <row r="4">
      <c r="B4" s="75" t="s">
        <v>234</v>
      </c>
      <c r="C4" s="79">
        <f>C2/C3</f>
        <v>83.33333333</v>
      </c>
      <c r="D4" s="75" t="s">
        <v>45</v>
      </c>
      <c r="F4" s="79">
        <f>F2/F3</f>
        <v>83.33333333</v>
      </c>
      <c r="G4" s="75" t="s">
        <v>45</v>
      </c>
      <c r="H4" s="78"/>
    </row>
    <row r="5">
      <c r="B5" s="75" t="s">
        <v>235</v>
      </c>
      <c r="C5" s="80">
        <f>12000000/1.17</f>
        <v>10256410.26</v>
      </c>
      <c r="D5" s="75" t="s">
        <v>236</v>
      </c>
      <c r="F5" s="80">
        <v>1.2E7</v>
      </c>
      <c r="G5" s="75" t="s">
        <v>236</v>
      </c>
    </row>
    <row r="6">
      <c r="B6" s="75" t="s">
        <v>237</v>
      </c>
      <c r="C6" s="77">
        <f>C4*C5</f>
        <v>854700854.7</v>
      </c>
      <c r="F6" s="77">
        <f>F4*F5</f>
        <v>1000000000</v>
      </c>
    </row>
    <row r="7">
      <c r="D7" s="75"/>
      <c r="E7" s="75"/>
    </row>
    <row r="8">
      <c r="B8" s="75" t="s">
        <v>238</v>
      </c>
      <c r="C8" s="77">
        <f>'Cost Plan'!E61/C4</f>
        <v>9036837.179</v>
      </c>
      <c r="D8" s="75" t="s">
        <v>45</v>
      </c>
      <c r="E8" s="75"/>
    </row>
    <row r="9">
      <c r="B9" s="75" t="s">
        <v>239</v>
      </c>
      <c r="C9" s="77">
        <f>'Cost Plan'!E61</f>
        <v>753069764.9</v>
      </c>
      <c r="D9" s="75" t="s">
        <v>236</v>
      </c>
      <c r="E9" s="75"/>
    </row>
    <row r="10">
      <c r="B10" s="75"/>
      <c r="C10" s="77"/>
      <c r="D10" s="81"/>
      <c r="E10" s="75"/>
    </row>
    <row r="11">
      <c r="B11" s="75" t="s">
        <v>22</v>
      </c>
      <c r="C11" s="80">
        <v>1.2E8</v>
      </c>
      <c r="D11" s="81">
        <v>45809.0</v>
      </c>
      <c r="E11" s="75" t="s">
        <v>240</v>
      </c>
    </row>
    <row r="12">
      <c r="B12" s="75" t="s">
        <v>241</v>
      </c>
      <c r="C12" s="80">
        <v>1000000.0</v>
      </c>
      <c r="D12" s="81">
        <v>45809.0</v>
      </c>
      <c r="E12" s="75" t="s">
        <v>240</v>
      </c>
    </row>
    <row r="13">
      <c r="B13" s="75" t="s">
        <v>242</v>
      </c>
      <c r="C13" s="80">
        <v>1.0E7</v>
      </c>
      <c r="D13" s="81">
        <v>45809.0</v>
      </c>
      <c r="E13" s="75" t="s">
        <v>240</v>
      </c>
    </row>
    <row r="14">
      <c r="B14" s="75" t="s">
        <v>243</v>
      </c>
      <c r="C14" s="80">
        <v>2.4E7</v>
      </c>
      <c r="D14" s="81">
        <v>45809.0</v>
      </c>
      <c r="E14" s="75" t="s">
        <v>240</v>
      </c>
    </row>
    <row r="15">
      <c r="B15" s="75" t="s">
        <v>244</v>
      </c>
      <c r="C15" s="80">
        <v>3.7E7</v>
      </c>
      <c r="D15" s="81">
        <v>45809.0</v>
      </c>
      <c r="E15" s="75" t="s">
        <v>240</v>
      </c>
    </row>
    <row r="16">
      <c r="B16" s="75" t="s">
        <v>245</v>
      </c>
      <c r="C16" s="80">
        <v>2.3E7</v>
      </c>
      <c r="D16" s="81">
        <v>45809.0</v>
      </c>
      <c r="E16" s="75" t="s">
        <v>240</v>
      </c>
    </row>
    <row r="17">
      <c r="B17" s="75" t="s">
        <v>246</v>
      </c>
      <c r="C17" s="80">
        <f>sum(C11:C16)*0.1</f>
        <v>21500000</v>
      </c>
      <c r="D17" s="81">
        <v>45809.0</v>
      </c>
      <c r="E17" s="75" t="s">
        <v>240</v>
      </c>
    </row>
    <row r="18">
      <c r="B18" s="75" t="s">
        <v>247</v>
      </c>
      <c r="C18" s="77">
        <f>sum(C11:C17)</f>
        <v>236500000</v>
      </c>
      <c r="D18" s="75"/>
    </row>
    <row r="19">
      <c r="B19" s="75"/>
      <c r="C19" s="77"/>
      <c r="D19" s="75"/>
    </row>
    <row r="20">
      <c r="B20" s="75" t="s">
        <v>248</v>
      </c>
      <c r="C20" s="80">
        <v>2.0E7</v>
      </c>
      <c r="D20" s="81">
        <v>45809.0</v>
      </c>
      <c r="E20" s="75" t="s">
        <v>240</v>
      </c>
    </row>
    <row r="21">
      <c r="B21" s="75" t="s">
        <v>249</v>
      </c>
      <c r="C21" s="80">
        <f>12000000/1.17</f>
        <v>10256410.26</v>
      </c>
      <c r="D21" s="81">
        <v>45809.0</v>
      </c>
      <c r="E21" s="75" t="s">
        <v>240</v>
      </c>
    </row>
    <row r="23">
      <c r="B23" s="75" t="s">
        <v>250</v>
      </c>
      <c r="C23" s="82">
        <f>120/1.17</f>
        <v>102.5641026</v>
      </c>
      <c r="D23" s="75" t="s">
        <v>251</v>
      </c>
    </row>
    <row r="24">
      <c r="B24" s="75" t="s">
        <v>252</v>
      </c>
      <c r="C24" s="77">
        <f>C23*12*1000</f>
        <v>1230769.231</v>
      </c>
      <c r="D24" s="75" t="s">
        <v>253</v>
      </c>
    </row>
    <row r="25">
      <c r="B25" s="75" t="s">
        <v>254</v>
      </c>
      <c r="C25" s="83">
        <v>0.03</v>
      </c>
    </row>
    <row r="26">
      <c r="B26" s="75" t="s">
        <v>255</v>
      </c>
      <c r="C26" s="77">
        <f>C24*C4*1%</f>
        <v>1025641.026</v>
      </c>
    </row>
    <row r="27">
      <c r="B27" s="75" t="s">
        <v>256</v>
      </c>
      <c r="C27" s="83">
        <v>0.25</v>
      </c>
      <c r="D27" s="75" t="s">
        <v>257</v>
      </c>
    </row>
    <row r="29">
      <c r="C29" s="84">
        <v>1.0</v>
      </c>
      <c r="D29" s="84">
        <v>2.0</v>
      </c>
      <c r="E29" s="84">
        <v>3.0</v>
      </c>
      <c r="F29" s="84">
        <v>4.0</v>
      </c>
      <c r="G29" s="84">
        <v>5.0</v>
      </c>
      <c r="H29" s="84">
        <v>6.0</v>
      </c>
      <c r="I29" s="84">
        <v>7.0</v>
      </c>
      <c r="J29" s="84">
        <v>8.0</v>
      </c>
      <c r="K29" s="84">
        <v>9.0</v>
      </c>
      <c r="L29" s="84">
        <v>10.0</v>
      </c>
      <c r="M29" s="84">
        <v>11.0</v>
      </c>
      <c r="N29" s="84">
        <v>12.0</v>
      </c>
      <c r="O29" s="84">
        <v>13.0</v>
      </c>
      <c r="P29" s="84">
        <v>14.0</v>
      </c>
      <c r="Q29" s="84">
        <v>15.0</v>
      </c>
    </row>
    <row r="30">
      <c r="B30" s="75" t="s">
        <v>258</v>
      </c>
      <c r="C30" s="77">
        <f>C24*C4+C26</f>
        <v>103589743.6</v>
      </c>
      <c r="D30" s="77">
        <f t="shared" ref="D30:Q30" si="1">C30*(1+$C$25)</f>
        <v>106697435.9</v>
      </c>
      <c r="E30" s="77">
        <f t="shared" si="1"/>
        <v>109898359</v>
      </c>
      <c r="F30" s="77">
        <f t="shared" si="1"/>
        <v>113195309.7</v>
      </c>
      <c r="G30" s="77">
        <f t="shared" si="1"/>
        <v>116591169</v>
      </c>
      <c r="H30" s="77">
        <f t="shared" si="1"/>
        <v>120088904.1</v>
      </c>
      <c r="I30" s="77">
        <f t="shared" si="1"/>
        <v>123691571.2</v>
      </c>
      <c r="J30" s="77">
        <f t="shared" si="1"/>
        <v>127402318.4</v>
      </c>
      <c r="K30" s="77">
        <f t="shared" si="1"/>
        <v>131224387.9</v>
      </c>
      <c r="L30" s="77">
        <f t="shared" si="1"/>
        <v>135161119.6</v>
      </c>
      <c r="M30" s="77">
        <f t="shared" si="1"/>
        <v>139215953.1</v>
      </c>
      <c r="N30" s="77">
        <f t="shared" si="1"/>
        <v>143392431.7</v>
      </c>
      <c r="O30" s="77">
        <f t="shared" si="1"/>
        <v>147694204.7</v>
      </c>
      <c r="P30" s="77">
        <f t="shared" si="1"/>
        <v>152125030.8</v>
      </c>
      <c r="Q30" s="77">
        <f t="shared" si="1"/>
        <v>156688781.8</v>
      </c>
    </row>
    <row r="31">
      <c r="B31" s="75" t="s">
        <v>259</v>
      </c>
      <c r="C31" s="78">
        <f t="shared" ref="C31:Q31" si="2">C30*$C$27</f>
        <v>25897435.9</v>
      </c>
      <c r="D31" s="78">
        <f t="shared" si="2"/>
        <v>26674358.97</v>
      </c>
      <c r="E31" s="78">
        <f t="shared" si="2"/>
        <v>27474589.74</v>
      </c>
      <c r="F31" s="78">
        <f t="shared" si="2"/>
        <v>28298827.44</v>
      </c>
      <c r="G31" s="78">
        <f t="shared" si="2"/>
        <v>29147792.26</v>
      </c>
      <c r="H31" s="78">
        <f t="shared" si="2"/>
        <v>30022226.03</v>
      </c>
      <c r="I31" s="78">
        <f t="shared" si="2"/>
        <v>30922892.81</v>
      </c>
      <c r="J31" s="78">
        <f t="shared" si="2"/>
        <v>31850579.59</v>
      </c>
      <c r="K31" s="78">
        <f t="shared" si="2"/>
        <v>32806096.98</v>
      </c>
      <c r="L31" s="78">
        <f t="shared" si="2"/>
        <v>33790279.89</v>
      </c>
      <c r="M31" s="78">
        <f t="shared" si="2"/>
        <v>34803988.29</v>
      </c>
      <c r="N31" s="78">
        <f t="shared" si="2"/>
        <v>35848107.93</v>
      </c>
      <c r="O31" s="78">
        <f t="shared" si="2"/>
        <v>36923551.17</v>
      </c>
      <c r="P31" s="78">
        <f t="shared" si="2"/>
        <v>38031257.71</v>
      </c>
      <c r="Q31" s="78">
        <f t="shared" si="2"/>
        <v>39172195.44</v>
      </c>
    </row>
    <row r="32">
      <c r="B32" s="75" t="s">
        <v>260</v>
      </c>
      <c r="C32" s="78">
        <f t="shared" ref="C32:Q32" si="3">C30-C31</f>
        <v>77692307.69</v>
      </c>
      <c r="D32" s="78">
        <f t="shared" si="3"/>
        <v>80023076.92</v>
      </c>
      <c r="E32" s="78">
        <f t="shared" si="3"/>
        <v>82423769.23</v>
      </c>
      <c r="F32" s="78">
        <f t="shared" si="3"/>
        <v>84896482.31</v>
      </c>
      <c r="G32" s="78">
        <f t="shared" si="3"/>
        <v>87443376.78</v>
      </c>
      <c r="H32" s="78">
        <f t="shared" si="3"/>
        <v>90066678.08</v>
      </c>
      <c r="I32" s="78">
        <f t="shared" si="3"/>
        <v>92768678.42</v>
      </c>
      <c r="J32" s="78">
        <f t="shared" si="3"/>
        <v>95551738.78</v>
      </c>
      <c r="K32" s="78">
        <f t="shared" si="3"/>
        <v>98418290.94</v>
      </c>
      <c r="L32" s="78">
        <f t="shared" si="3"/>
        <v>101370839.7</v>
      </c>
      <c r="M32" s="78">
        <f t="shared" si="3"/>
        <v>104411964.9</v>
      </c>
      <c r="N32" s="78">
        <f t="shared" si="3"/>
        <v>107544323.8</v>
      </c>
      <c r="O32" s="78">
        <f t="shared" si="3"/>
        <v>110770653.5</v>
      </c>
      <c r="P32" s="78">
        <f t="shared" si="3"/>
        <v>114093773.1</v>
      </c>
      <c r="Q32" s="78">
        <f t="shared" si="3"/>
        <v>117516586.3</v>
      </c>
    </row>
    <row r="34">
      <c r="B34" s="75" t="s">
        <v>261</v>
      </c>
      <c r="C34" s="78">
        <f>sum(C32:Q32)</f>
        <v>1444992540</v>
      </c>
    </row>
    <row r="36">
      <c r="B36" s="75" t="s">
        <v>262</v>
      </c>
      <c r="C36" s="78">
        <f>'Existing Asset'!F14*1000</f>
        <v>22340000</v>
      </c>
      <c r="D36" s="78">
        <f>'Existing Asset'!G14*1000</f>
        <v>20861325</v>
      </c>
      <c r="E36" s="78">
        <f>'Existing Asset'!H14*1000</f>
        <v>19751175</v>
      </c>
      <c r="F36" s="78">
        <f>'Existing Asset'!I14*1000</f>
        <v>18767835.89</v>
      </c>
      <c r="G36" s="78">
        <f>'Existing Asset'!J14*1000</f>
        <v>17898830.79</v>
      </c>
      <c r="H36" s="78">
        <f>'Existing Asset'!K14*1000</f>
        <v>17132931.23</v>
      </c>
      <c r="I36" s="78">
        <f>'Existing Asset'!L14*1000</f>
        <v>16460032.25</v>
      </c>
      <c r="J36" s="78">
        <f>'Existing Asset'!M14*1000</f>
        <v>15871039.92</v>
      </c>
      <c r="K36" s="78">
        <f>'Existing Asset'!N14*1000</f>
        <v>15357770.19</v>
      </c>
      <c r="L36" s="78">
        <f>'Existing Asset'!O14*1000</f>
        <v>14912857.75</v>
      </c>
      <c r="M36" s="78">
        <f>'Existing Asset'!P14*1000</f>
        <v>14529674.09</v>
      </c>
      <c r="N36" s="78">
        <f>'Existing Asset'!Q14*1000</f>
        <v>14202253.7</v>
      </c>
      <c r="O36" s="78">
        <f>'Existing Asset'!R14*1000</f>
        <v>13925227.62</v>
      </c>
      <c r="P36" s="78">
        <f>'Existing Asset'!S14*1000</f>
        <v>13693763.72</v>
      </c>
      <c r="Q36" s="78">
        <f>'Existing Asset'!T14*1000</f>
        <v>13503512.83</v>
      </c>
    </row>
    <row r="38">
      <c r="A38" s="85"/>
      <c r="B38" s="86" t="s">
        <v>263</v>
      </c>
      <c r="C38" s="87">
        <f t="shared" ref="C38:Q38" si="4">C32+C36</f>
        <v>100032307.7</v>
      </c>
      <c r="D38" s="87">
        <f t="shared" si="4"/>
        <v>100884401.9</v>
      </c>
      <c r="E38" s="87">
        <f t="shared" si="4"/>
        <v>102174944.2</v>
      </c>
      <c r="F38" s="87">
        <f t="shared" si="4"/>
        <v>103664318.2</v>
      </c>
      <c r="G38" s="87">
        <f t="shared" si="4"/>
        <v>105342207.6</v>
      </c>
      <c r="H38" s="87">
        <f t="shared" si="4"/>
        <v>107199609.3</v>
      </c>
      <c r="I38" s="87">
        <f t="shared" si="4"/>
        <v>109228710.7</v>
      </c>
      <c r="J38" s="87">
        <f t="shared" si="4"/>
        <v>111422778.7</v>
      </c>
      <c r="K38" s="87">
        <f t="shared" si="4"/>
        <v>113776061.1</v>
      </c>
      <c r="L38" s="87">
        <f t="shared" si="4"/>
        <v>116283697.4</v>
      </c>
      <c r="M38" s="87">
        <f t="shared" si="4"/>
        <v>118941639</v>
      </c>
      <c r="N38" s="87">
        <f t="shared" si="4"/>
        <v>121746577.5</v>
      </c>
      <c r="O38" s="87">
        <f t="shared" si="4"/>
        <v>124695881.1</v>
      </c>
      <c r="P38" s="87">
        <f t="shared" si="4"/>
        <v>127787536.8</v>
      </c>
      <c r="Q38" s="87">
        <f t="shared" si="4"/>
        <v>131020099.1</v>
      </c>
      <c r="R38" s="85"/>
      <c r="S38" s="85"/>
      <c r="T38" s="85"/>
      <c r="U38" s="85"/>
      <c r="V38" s="85"/>
      <c r="W38" s="85"/>
      <c r="X38" s="85"/>
      <c r="Y38" s="85"/>
      <c r="Z38" s="85"/>
    </row>
    <row r="40">
      <c r="B40" s="75" t="s">
        <v>264</v>
      </c>
      <c r="C40" s="78">
        <f>C30+('Existing Asset'!F12*1000)</f>
        <v>136305743.6</v>
      </c>
      <c r="D40" s="78">
        <f>D30+('Existing Asset'!G12*1000)</f>
        <v>137463755.9</v>
      </c>
      <c r="E40" s="78">
        <f>E30+('Existing Asset'!H12*1000)</f>
        <v>138936405.4</v>
      </c>
      <c r="F40" s="78">
        <f>F30+('Existing Asset'!I12*1000)</f>
        <v>140704877.1</v>
      </c>
      <c r="G40" s="78">
        <f>G30+('Existing Asset'!J12*1000)</f>
        <v>142752611.7</v>
      </c>
      <c r="H40" s="78">
        <f>H30+('Existing Asset'!K12*1000)</f>
        <v>145065091.2</v>
      </c>
      <c r="I40" s="78">
        <f>I30+('Existing Asset'!L12*1000)</f>
        <v>147629646.1</v>
      </c>
      <c r="J40" s="78">
        <f>J30+('Existing Asset'!M12*1000)</f>
        <v>150435282.4</v>
      </c>
      <c r="K40" s="78">
        <f>K30+('Existing Asset'!N12*1000)</f>
        <v>153472526.1</v>
      </c>
      <c r="L40" s="78">
        <f>L30+('Existing Asset'!O12*1000)</f>
        <v>156733283.9</v>
      </c>
      <c r="M40" s="78">
        <f>M30+('Existing Asset'!P12*1000)</f>
        <v>160210717.8</v>
      </c>
      <c r="N40" s="78">
        <f>N30+('Existing Asset'!Q12*1000)</f>
        <v>163899133.1</v>
      </c>
      <c r="O40" s="78">
        <f>O30+('Existing Asset'!R12*1000)</f>
        <v>167793877.2</v>
      </c>
      <c r="P40" s="78">
        <f>P30+('Existing Asset'!S12*1000)</f>
        <v>171891250.3</v>
      </c>
      <c r="Q40" s="78">
        <f>Q30+('Existing Asset'!T12*1000)</f>
        <v>176188423.8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2.5"/>
    <col customWidth="1" min="3" max="3" width="13.13"/>
    <col customWidth="1" min="4" max="5" width="12.75"/>
    <col customWidth="1" hidden="1" min="6" max="6" width="14.13"/>
    <col customWidth="1" min="7" max="7" width="6.63"/>
    <col customWidth="1" min="8" max="8" width="4.0"/>
    <col customWidth="1" min="9" max="9" width="10.5"/>
    <col customWidth="1" min="10" max="10" width="9.5"/>
    <col customWidth="1" min="11" max="11" width="9.63"/>
    <col customWidth="1" min="12" max="12" width="11.25"/>
    <col customWidth="1" min="13" max="28" width="11.38"/>
    <col customWidth="1" min="29" max="30" width="12.75"/>
    <col customWidth="1" min="31" max="31" width="3.38"/>
    <col customWidth="1" min="32" max="33" width="12.75"/>
    <col customWidth="1" min="35" max="35" width="6.5"/>
    <col customWidth="1" min="36" max="36" width="6.88"/>
  </cols>
  <sheetData>
    <row r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</row>
    <row r="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</row>
    <row r="3">
      <c r="A3" s="88"/>
      <c r="B3" s="88"/>
      <c r="C3" s="88"/>
      <c r="D3" s="88"/>
      <c r="E3" s="88"/>
      <c r="F3" s="88"/>
      <c r="G3" s="88"/>
      <c r="H3" s="88"/>
      <c r="I3" s="89">
        <v>45778.0</v>
      </c>
      <c r="J3" s="89">
        <v>45809.0</v>
      </c>
      <c r="K3" s="89">
        <v>45839.0</v>
      </c>
      <c r="L3" s="89">
        <v>45870.0</v>
      </c>
      <c r="M3" s="89">
        <v>45901.0</v>
      </c>
      <c r="N3" s="89">
        <v>45931.0</v>
      </c>
      <c r="O3" s="89">
        <v>45962.0</v>
      </c>
      <c r="P3" s="89">
        <v>45992.0</v>
      </c>
      <c r="Q3" s="89">
        <v>46023.0</v>
      </c>
      <c r="R3" s="89">
        <v>46054.0</v>
      </c>
      <c r="S3" s="89">
        <v>46082.0</v>
      </c>
      <c r="T3" s="89">
        <v>46113.0</v>
      </c>
      <c r="U3" s="89">
        <v>46143.0</v>
      </c>
      <c r="V3" s="89">
        <v>46174.0</v>
      </c>
      <c r="W3" s="89">
        <v>46204.0</v>
      </c>
      <c r="X3" s="89">
        <v>46235.0</v>
      </c>
      <c r="Y3" s="89">
        <v>46266.0</v>
      </c>
      <c r="Z3" s="89">
        <v>46296.0</v>
      </c>
      <c r="AA3" s="89">
        <v>46327.0</v>
      </c>
      <c r="AB3" s="89">
        <v>46357.0</v>
      </c>
      <c r="AC3" s="89">
        <v>46388.0</v>
      </c>
      <c r="AD3" s="89">
        <v>46419.0</v>
      </c>
      <c r="AE3" s="90"/>
      <c r="AF3" s="89">
        <v>46478.0</v>
      </c>
      <c r="AG3" s="89">
        <f>AD3+365</f>
        <v>46784</v>
      </c>
      <c r="AH3" s="90"/>
      <c r="AI3" s="91"/>
      <c r="AJ3" s="91"/>
      <c r="AK3" s="88"/>
      <c r="AL3" s="88"/>
      <c r="AM3" s="88"/>
    </row>
    <row r="4">
      <c r="A4" s="88"/>
      <c r="B4" s="88"/>
      <c r="C4" s="92">
        <v>38.4</v>
      </c>
      <c r="D4" s="93"/>
      <c r="E4" s="93">
        <f>Model!C4</f>
        <v>83.33333333</v>
      </c>
      <c r="F4" s="94"/>
      <c r="G4" s="88" t="s">
        <v>45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90"/>
      <c r="AF4" s="90"/>
      <c r="AG4" s="88"/>
      <c r="AH4" s="88"/>
      <c r="AI4" s="88"/>
      <c r="AJ4" s="88"/>
      <c r="AK4" s="88"/>
      <c r="AL4" s="88"/>
      <c r="AM4" s="88"/>
    </row>
    <row r="5">
      <c r="A5" s="88"/>
      <c r="B5" s="95"/>
      <c r="C5" s="95"/>
      <c r="D5" s="95"/>
      <c r="E5" s="95"/>
      <c r="F5" s="95"/>
      <c r="G5" s="88"/>
      <c r="H5" s="88"/>
      <c r="I5" s="96" t="s">
        <v>265</v>
      </c>
      <c r="J5" s="97"/>
      <c r="K5" s="98"/>
      <c r="L5" s="99" t="s">
        <v>243</v>
      </c>
      <c r="M5" s="97"/>
      <c r="N5" s="97"/>
      <c r="O5" s="97"/>
      <c r="P5" s="97"/>
      <c r="Q5" s="98"/>
      <c r="R5" s="100" t="s">
        <v>266</v>
      </c>
      <c r="S5" s="97"/>
      <c r="T5" s="97"/>
      <c r="U5" s="97"/>
      <c r="V5" s="97"/>
      <c r="W5" s="97"/>
      <c r="X5" s="97"/>
      <c r="Y5" s="97"/>
      <c r="Z5" s="97"/>
      <c r="AA5" s="97"/>
      <c r="AB5" s="97"/>
      <c r="AC5" s="98"/>
      <c r="AD5" s="101" t="s">
        <v>267</v>
      </c>
      <c r="AE5" s="102"/>
      <c r="AF5" s="103" t="s">
        <v>268</v>
      </c>
      <c r="AG5" s="103" t="s">
        <v>269</v>
      </c>
      <c r="AH5" s="88"/>
      <c r="AI5" s="88"/>
      <c r="AJ5" s="88"/>
      <c r="AK5" s="88"/>
      <c r="AL5" s="88"/>
      <c r="AM5" s="88"/>
    </row>
    <row r="6">
      <c r="A6" s="88"/>
      <c r="B6" s="88"/>
      <c r="C6" s="88"/>
      <c r="D6" s="88"/>
      <c r="E6" s="88"/>
      <c r="F6" s="88"/>
      <c r="G6" s="88"/>
      <c r="H6" s="88"/>
      <c r="I6" s="104"/>
      <c r="J6" s="88"/>
      <c r="K6" s="105"/>
      <c r="L6" s="104"/>
      <c r="M6" s="88"/>
      <c r="N6" s="88"/>
      <c r="O6" s="88"/>
      <c r="P6" s="88"/>
      <c r="Q6" s="105"/>
      <c r="R6" s="106">
        <v>1.0</v>
      </c>
      <c r="S6" s="107">
        <v>2.0</v>
      </c>
      <c r="T6" s="107">
        <v>3.0</v>
      </c>
      <c r="U6" s="107">
        <v>4.0</v>
      </c>
      <c r="V6" s="107">
        <v>5.0</v>
      </c>
      <c r="W6" s="107">
        <v>6.0</v>
      </c>
      <c r="X6" s="107">
        <v>7.0</v>
      </c>
      <c r="Y6" s="107">
        <v>8.0</v>
      </c>
      <c r="Z6" s="107">
        <v>9.0</v>
      </c>
      <c r="AA6" s="107">
        <v>10.0</v>
      </c>
      <c r="AB6" s="107">
        <v>11.0</v>
      </c>
      <c r="AC6" s="108">
        <v>12.0</v>
      </c>
      <c r="AD6" s="109">
        <v>13.0</v>
      </c>
      <c r="AE6" s="104"/>
      <c r="AF6" s="109">
        <v>15.0</v>
      </c>
      <c r="AG6" s="109"/>
      <c r="AH6" s="88"/>
      <c r="AI6" s="88"/>
      <c r="AJ6" s="88"/>
      <c r="AK6" s="88"/>
      <c r="AL6" s="88"/>
      <c r="AM6" s="88"/>
    </row>
    <row r="7">
      <c r="A7" s="88" t="s">
        <v>270</v>
      </c>
      <c r="B7" s="95"/>
      <c r="C7" s="110" t="s">
        <v>271</v>
      </c>
      <c r="D7" s="110" t="s">
        <v>272</v>
      </c>
      <c r="E7" s="110" t="s">
        <v>273</v>
      </c>
      <c r="F7" s="111" t="s">
        <v>274</v>
      </c>
      <c r="G7" s="112" t="s">
        <v>240</v>
      </c>
      <c r="H7" s="88"/>
      <c r="I7" s="113">
        <v>1.0</v>
      </c>
      <c r="J7" s="114">
        <v>2.0</v>
      </c>
      <c r="K7" s="115">
        <v>3.0</v>
      </c>
      <c r="L7" s="113">
        <v>4.0</v>
      </c>
      <c r="M7" s="116">
        <v>5.0</v>
      </c>
      <c r="N7" s="114">
        <v>6.0</v>
      </c>
      <c r="O7" s="116">
        <v>7.0</v>
      </c>
      <c r="P7" s="114">
        <v>8.0</v>
      </c>
      <c r="Q7" s="115">
        <v>9.0</v>
      </c>
      <c r="R7" s="117">
        <v>10.0</v>
      </c>
      <c r="S7" s="118">
        <v>11.0</v>
      </c>
      <c r="T7" s="118">
        <v>12.0</v>
      </c>
      <c r="U7" s="118">
        <v>13.0</v>
      </c>
      <c r="V7" s="118">
        <v>14.0</v>
      </c>
      <c r="W7" s="118">
        <v>15.0</v>
      </c>
      <c r="X7" s="118">
        <v>16.0</v>
      </c>
      <c r="Y7" s="118">
        <v>17.0</v>
      </c>
      <c r="Z7" s="118">
        <v>18.0</v>
      </c>
      <c r="AA7" s="118">
        <v>19.0</v>
      </c>
      <c r="AB7" s="118">
        <v>20.0</v>
      </c>
      <c r="AC7" s="119">
        <v>21.0</v>
      </c>
      <c r="AD7" s="120">
        <v>22.0</v>
      </c>
      <c r="AE7" s="121"/>
      <c r="AF7" s="120">
        <v>24.0</v>
      </c>
      <c r="AG7" s="120">
        <f>AD7+12</f>
        <v>34</v>
      </c>
      <c r="AH7" s="88"/>
      <c r="AI7" s="88"/>
      <c r="AJ7" s="88"/>
      <c r="AK7" s="88"/>
      <c r="AL7" s="88"/>
      <c r="AM7" s="88"/>
    </row>
    <row r="8">
      <c r="A8" s="122">
        <f t="shared" ref="A8:A27" si="3">sum(I8:AG8)-E8</f>
        <v>-0.0000000004656612873</v>
      </c>
      <c r="B8" s="95" t="s">
        <v>275</v>
      </c>
      <c r="C8" s="122">
        <v>1584000.0</v>
      </c>
      <c r="D8" s="123">
        <f t="shared" ref="D8:D27" si="4">C8/1.17</f>
        <v>1353846.154</v>
      </c>
      <c r="E8" s="123">
        <f t="shared" ref="E8:E19" si="5">D8/$C$4*$E$4</f>
        <v>2938034.188</v>
      </c>
      <c r="F8" s="122">
        <f t="shared" ref="F8:F19" si="6">E8-sum(I8:K8)-AG8</f>
        <v>2864583.333</v>
      </c>
      <c r="G8" s="112">
        <v>10.0</v>
      </c>
      <c r="H8" s="88"/>
      <c r="I8" s="124"/>
      <c r="J8" s="125"/>
      <c r="K8" s="126"/>
      <c r="L8" s="127"/>
      <c r="M8" s="128"/>
      <c r="N8" s="128"/>
      <c r="O8" s="128"/>
      <c r="P8" s="128"/>
      <c r="Q8" s="129"/>
      <c r="R8" s="127"/>
      <c r="S8" s="128"/>
      <c r="T8" s="128"/>
      <c r="U8" s="130">
        <f t="shared" ref="U8:AC8" si="1">$F8/$G8</f>
        <v>286458.3333</v>
      </c>
      <c r="V8" s="130">
        <f t="shared" si="1"/>
        <v>286458.3333</v>
      </c>
      <c r="W8" s="130">
        <f t="shared" si="1"/>
        <v>286458.3333</v>
      </c>
      <c r="X8" s="130">
        <f t="shared" si="1"/>
        <v>286458.3333</v>
      </c>
      <c r="Y8" s="130">
        <f t="shared" si="1"/>
        <v>286458.3333</v>
      </c>
      <c r="Z8" s="130">
        <f t="shared" si="1"/>
        <v>286458.3333</v>
      </c>
      <c r="AA8" s="130">
        <f t="shared" si="1"/>
        <v>286458.3333</v>
      </c>
      <c r="AB8" s="130">
        <f t="shared" si="1"/>
        <v>286458.3333</v>
      </c>
      <c r="AC8" s="131">
        <f t="shared" si="1"/>
        <v>286458.3333</v>
      </c>
      <c r="AD8" s="132">
        <f t="shared" ref="AD8:AD10" si="8">$F8/$G8-AF8</f>
        <v>213007.4786</v>
      </c>
      <c r="AE8" s="133"/>
      <c r="AF8" s="132">
        <f t="shared" ref="AF8:AG8" si="2">$E8*0.025</f>
        <v>73450.8547</v>
      </c>
      <c r="AG8" s="132">
        <f t="shared" si="2"/>
        <v>73450.8547</v>
      </c>
      <c r="AH8" s="88"/>
      <c r="AI8" s="88"/>
      <c r="AJ8" s="88"/>
      <c r="AK8" s="88"/>
      <c r="AL8" s="134"/>
      <c r="AM8" s="134"/>
    </row>
    <row r="9">
      <c r="A9" s="122">
        <f t="shared" si="3"/>
        <v>0</v>
      </c>
      <c r="B9" s="95" t="s">
        <v>276</v>
      </c>
      <c r="C9" s="122">
        <v>1606634.0</v>
      </c>
      <c r="D9" s="123">
        <f t="shared" si="4"/>
        <v>1373191.453</v>
      </c>
      <c r="E9" s="123">
        <f t="shared" si="5"/>
        <v>2980016.174</v>
      </c>
      <c r="F9" s="122">
        <f t="shared" si="6"/>
        <v>2905515.77</v>
      </c>
      <c r="G9" s="112">
        <v>13.0</v>
      </c>
      <c r="H9" s="88"/>
      <c r="I9" s="127"/>
      <c r="J9" s="128"/>
      <c r="K9" s="129"/>
      <c r="L9" s="127"/>
      <c r="M9" s="128"/>
      <c r="N9" s="128"/>
      <c r="O9" s="128"/>
      <c r="P9" s="128"/>
      <c r="Q9" s="129"/>
      <c r="R9" s="135">
        <f t="shared" ref="R9:AC9" si="7">$F9/$G9-sum($O9:$Q9)</f>
        <v>223501.2131</v>
      </c>
      <c r="S9" s="130">
        <f t="shared" si="7"/>
        <v>223501.2131</v>
      </c>
      <c r="T9" s="130">
        <f t="shared" si="7"/>
        <v>223501.2131</v>
      </c>
      <c r="U9" s="130">
        <f t="shared" si="7"/>
        <v>223501.2131</v>
      </c>
      <c r="V9" s="130">
        <f t="shared" si="7"/>
        <v>223501.2131</v>
      </c>
      <c r="W9" s="130">
        <f t="shared" si="7"/>
        <v>223501.2131</v>
      </c>
      <c r="X9" s="130">
        <f t="shared" si="7"/>
        <v>223501.2131</v>
      </c>
      <c r="Y9" s="130">
        <f t="shared" si="7"/>
        <v>223501.2131</v>
      </c>
      <c r="Z9" s="130">
        <f t="shared" si="7"/>
        <v>223501.2131</v>
      </c>
      <c r="AA9" s="130">
        <f t="shared" si="7"/>
        <v>223501.2131</v>
      </c>
      <c r="AB9" s="130">
        <f t="shared" si="7"/>
        <v>223501.2131</v>
      </c>
      <c r="AC9" s="131">
        <f t="shared" si="7"/>
        <v>223501.2131</v>
      </c>
      <c r="AD9" s="132">
        <f t="shared" si="8"/>
        <v>149000.8087</v>
      </c>
      <c r="AE9" s="133"/>
      <c r="AF9" s="132">
        <f t="shared" ref="AF9:AG9" si="9">$E9*0.025</f>
        <v>74500.40435</v>
      </c>
      <c r="AG9" s="132">
        <f t="shared" si="9"/>
        <v>74500.40435</v>
      </c>
      <c r="AH9" s="88"/>
      <c r="AI9" s="88"/>
      <c r="AJ9" s="88"/>
      <c r="AK9" s="88"/>
      <c r="AL9" s="134"/>
      <c r="AM9" s="134"/>
    </row>
    <row r="10">
      <c r="A10" s="122">
        <f t="shared" si="3"/>
        <v>0</v>
      </c>
      <c r="B10" s="95" t="s">
        <v>277</v>
      </c>
      <c r="C10" s="122">
        <v>2.191780822E7</v>
      </c>
      <c r="D10" s="123">
        <f t="shared" si="4"/>
        <v>18733169.42</v>
      </c>
      <c r="E10" s="123">
        <f t="shared" si="5"/>
        <v>40653579.47</v>
      </c>
      <c r="F10" s="122">
        <f t="shared" si="6"/>
        <v>39637239.98</v>
      </c>
      <c r="G10" s="112">
        <v>13.0</v>
      </c>
      <c r="H10" s="88"/>
      <c r="I10" s="127"/>
      <c r="J10" s="128"/>
      <c r="K10" s="129"/>
      <c r="L10" s="127"/>
      <c r="M10" s="128"/>
      <c r="N10" s="128"/>
      <c r="O10" s="128"/>
      <c r="P10" s="128"/>
      <c r="Q10" s="129"/>
      <c r="R10" s="135">
        <f t="shared" ref="R10:AC10" si="10">$F10/$G10-sum($O10:$Q10)</f>
        <v>3049018.46</v>
      </c>
      <c r="S10" s="130">
        <f t="shared" si="10"/>
        <v>3049018.46</v>
      </c>
      <c r="T10" s="130">
        <f t="shared" si="10"/>
        <v>3049018.46</v>
      </c>
      <c r="U10" s="130">
        <f t="shared" si="10"/>
        <v>3049018.46</v>
      </c>
      <c r="V10" s="130">
        <f t="shared" si="10"/>
        <v>3049018.46</v>
      </c>
      <c r="W10" s="130">
        <f t="shared" si="10"/>
        <v>3049018.46</v>
      </c>
      <c r="X10" s="130">
        <f t="shared" si="10"/>
        <v>3049018.46</v>
      </c>
      <c r="Y10" s="130">
        <f t="shared" si="10"/>
        <v>3049018.46</v>
      </c>
      <c r="Z10" s="130">
        <f t="shared" si="10"/>
        <v>3049018.46</v>
      </c>
      <c r="AA10" s="130">
        <f t="shared" si="10"/>
        <v>3049018.46</v>
      </c>
      <c r="AB10" s="130">
        <f t="shared" si="10"/>
        <v>3049018.46</v>
      </c>
      <c r="AC10" s="131">
        <f t="shared" si="10"/>
        <v>3049018.46</v>
      </c>
      <c r="AD10" s="132">
        <f t="shared" si="8"/>
        <v>2032678.973</v>
      </c>
      <c r="AE10" s="133"/>
      <c r="AF10" s="132">
        <f t="shared" ref="AF10:AG10" si="11">$E10*0.025</f>
        <v>1016339.487</v>
      </c>
      <c r="AG10" s="132">
        <f t="shared" si="11"/>
        <v>1016339.487</v>
      </c>
      <c r="AH10" s="88"/>
      <c r="AI10" s="88"/>
      <c r="AJ10" s="88"/>
      <c r="AK10" s="88"/>
      <c r="AL10" s="134"/>
      <c r="AM10" s="134"/>
    </row>
    <row r="11">
      <c r="A11" s="122">
        <f t="shared" si="3"/>
        <v>0</v>
      </c>
      <c r="B11" s="95" t="s">
        <v>278</v>
      </c>
      <c r="C11" s="122">
        <v>750000.0</v>
      </c>
      <c r="D11" s="123">
        <f t="shared" si="4"/>
        <v>641025.641</v>
      </c>
      <c r="E11" s="123">
        <f t="shared" si="5"/>
        <v>1391114.672</v>
      </c>
      <c r="F11" s="122">
        <f t="shared" si="6"/>
        <v>1361114.672</v>
      </c>
      <c r="G11" s="112">
        <v>8.0</v>
      </c>
      <c r="H11" s="88"/>
      <c r="I11" s="135">
        <v>10000.0</v>
      </c>
      <c r="J11" s="130">
        <v>10000.0</v>
      </c>
      <c r="K11" s="131">
        <v>10000.0</v>
      </c>
      <c r="L11" s="135">
        <f t="shared" ref="L11:S11" si="12">$F11/$G11</f>
        <v>170139.334</v>
      </c>
      <c r="M11" s="130">
        <f t="shared" si="12"/>
        <v>170139.334</v>
      </c>
      <c r="N11" s="130">
        <f t="shared" si="12"/>
        <v>170139.334</v>
      </c>
      <c r="O11" s="130">
        <f t="shared" si="12"/>
        <v>170139.334</v>
      </c>
      <c r="P11" s="130">
        <f t="shared" si="12"/>
        <v>170139.334</v>
      </c>
      <c r="Q11" s="131">
        <f t="shared" si="12"/>
        <v>170139.334</v>
      </c>
      <c r="R11" s="135">
        <f t="shared" si="12"/>
        <v>170139.334</v>
      </c>
      <c r="S11" s="130">
        <f t="shared" si="12"/>
        <v>170139.334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129"/>
      <c r="AD11" s="136"/>
      <c r="AE11" s="133"/>
      <c r="AF11" s="136"/>
      <c r="AG11" s="136"/>
      <c r="AH11" s="88"/>
      <c r="AI11" s="88"/>
      <c r="AJ11" s="88"/>
      <c r="AK11" s="88"/>
      <c r="AL11" s="134"/>
      <c r="AM11" s="134"/>
    </row>
    <row r="12">
      <c r="A12" s="122">
        <f t="shared" si="3"/>
        <v>-0.0000001192092896</v>
      </c>
      <c r="B12" s="95" t="s">
        <v>279</v>
      </c>
      <c r="C12" s="122">
        <v>1.536E8</v>
      </c>
      <c r="D12" s="123">
        <f t="shared" si="4"/>
        <v>131282051.3</v>
      </c>
      <c r="E12" s="123">
        <f t="shared" si="5"/>
        <v>284900284.9</v>
      </c>
      <c r="F12" s="122">
        <f t="shared" si="6"/>
        <v>277477777.8</v>
      </c>
      <c r="G12" s="112">
        <v>13.0</v>
      </c>
      <c r="H12" s="88"/>
      <c r="I12" s="135">
        <v>100000.0</v>
      </c>
      <c r="J12" s="130">
        <v>100000.0</v>
      </c>
      <c r="K12" s="131">
        <v>100000.0</v>
      </c>
      <c r="L12" s="135">
        <f t="shared" ref="L12:Q12" si="13">$C12/$G12/12</f>
        <v>984615.3846</v>
      </c>
      <c r="M12" s="130">
        <f t="shared" si="13"/>
        <v>984615.3846</v>
      </c>
      <c r="N12" s="130">
        <f t="shared" si="13"/>
        <v>984615.3846</v>
      </c>
      <c r="O12" s="130">
        <f t="shared" si="13"/>
        <v>984615.3846</v>
      </c>
      <c r="P12" s="130">
        <f t="shared" si="13"/>
        <v>984615.3846</v>
      </c>
      <c r="Q12" s="131">
        <f t="shared" si="13"/>
        <v>984615.3846</v>
      </c>
      <c r="R12" s="135">
        <f t="shared" ref="R12:AB12" si="14">($E12-(sum($I12:$Q12,$AF12:$AG12,$AC12:$AD12)))/($G12-2)</f>
        <v>22098187</v>
      </c>
      <c r="S12" s="130">
        <f t="shared" si="14"/>
        <v>22098187</v>
      </c>
      <c r="T12" s="130">
        <f t="shared" si="14"/>
        <v>22098187</v>
      </c>
      <c r="U12" s="130">
        <f t="shared" si="14"/>
        <v>22098187</v>
      </c>
      <c r="V12" s="130">
        <f t="shared" si="14"/>
        <v>22098187</v>
      </c>
      <c r="W12" s="130">
        <f t="shared" si="14"/>
        <v>22098187</v>
      </c>
      <c r="X12" s="130">
        <f t="shared" si="14"/>
        <v>22098187</v>
      </c>
      <c r="Y12" s="130">
        <f t="shared" si="14"/>
        <v>22098187</v>
      </c>
      <c r="Z12" s="130">
        <f t="shared" si="14"/>
        <v>22098187</v>
      </c>
      <c r="AA12" s="130">
        <f t="shared" si="14"/>
        <v>22098187</v>
      </c>
      <c r="AB12" s="130">
        <f t="shared" si="14"/>
        <v>22098187</v>
      </c>
      <c r="AC12" s="131">
        <f t="shared" ref="AC12:AC15" si="18">$E12*0.05</f>
        <v>14245014.25</v>
      </c>
      <c r="AD12" s="132">
        <f t="shared" ref="AD12:AD15" si="19">$E12*0.025</f>
        <v>7122507.123</v>
      </c>
      <c r="AE12" s="133"/>
      <c r="AF12" s="132">
        <f t="shared" ref="AF12:AG12" si="15">$E12*0.025</f>
        <v>7122507.123</v>
      </c>
      <c r="AG12" s="132">
        <f t="shared" si="15"/>
        <v>7122507.123</v>
      </c>
      <c r="AH12" s="88"/>
      <c r="AI12" s="88"/>
      <c r="AJ12" s="88"/>
      <c r="AK12" s="88"/>
      <c r="AL12" s="134"/>
      <c r="AM12" s="134"/>
    </row>
    <row r="13">
      <c r="A13" s="122">
        <f t="shared" si="3"/>
        <v>0.00000005960464478</v>
      </c>
      <c r="B13" s="95" t="s">
        <v>280</v>
      </c>
      <c r="C13" s="122">
        <v>8.8704E7</v>
      </c>
      <c r="D13" s="123">
        <f t="shared" si="4"/>
        <v>75815384.62</v>
      </c>
      <c r="E13" s="123">
        <f t="shared" si="5"/>
        <v>164529914.5</v>
      </c>
      <c r="F13" s="122">
        <f t="shared" si="6"/>
        <v>160266666.7</v>
      </c>
      <c r="G13" s="112">
        <v>13.0</v>
      </c>
      <c r="H13" s="88"/>
      <c r="I13" s="135">
        <v>50000.0</v>
      </c>
      <c r="J13" s="130">
        <v>50000.0</v>
      </c>
      <c r="K13" s="131">
        <v>50000.0</v>
      </c>
      <c r="L13" s="135">
        <f t="shared" ref="L13:Q13" si="16">$C13/$G13/12</f>
        <v>568615.3846</v>
      </c>
      <c r="M13" s="130">
        <f t="shared" si="16"/>
        <v>568615.3846</v>
      </c>
      <c r="N13" s="130">
        <f t="shared" si="16"/>
        <v>568615.3846</v>
      </c>
      <c r="O13" s="130">
        <f t="shared" si="16"/>
        <v>568615.3846</v>
      </c>
      <c r="P13" s="130">
        <f t="shared" si="16"/>
        <v>568615.3846</v>
      </c>
      <c r="Q13" s="131">
        <f t="shared" si="16"/>
        <v>568615.3846</v>
      </c>
      <c r="R13" s="135">
        <f t="shared" ref="R13:AB13" si="17">($E13-(sum($I13:$Q13,$AF13:$AG13,$AC13:$AD13)))/($G13-2)</f>
        <v>12763816.63</v>
      </c>
      <c r="S13" s="130">
        <f t="shared" si="17"/>
        <v>12763816.63</v>
      </c>
      <c r="T13" s="130">
        <f t="shared" si="17"/>
        <v>12763816.63</v>
      </c>
      <c r="U13" s="130">
        <f t="shared" si="17"/>
        <v>12763816.63</v>
      </c>
      <c r="V13" s="130">
        <f t="shared" si="17"/>
        <v>12763816.63</v>
      </c>
      <c r="W13" s="130">
        <f t="shared" si="17"/>
        <v>12763816.63</v>
      </c>
      <c r="X13" s="130">
        <f t="shared" si="17"/>
        <v>12763816.63</v>
      </c>
      <c r="Y13" s="130">
        <f t="shared" si="17"/>
        <v>12763816.63</v>
      </c>
      <c r="Z13" s="130">
        <f t="shared" si="17"/>
        <v>12763816.63</v>
      </c>
      <c r="AA13" s="130">
        <f t="shared" si="17"/>
        <v>12763816.63</v>
      </c>
      <c r="AB13" s="130">
        <f t="shared" si="17"/>
        <v>12763816.63</v>
      </c>
      <c r="AC13" s="131">
        <f t="shared" si="18"/>
        <v>8226495.726</v>
      </c>
      <c r="AD13" s="132">
        <f t="shared" si="19"/>
        <v>4113247.863</v>
      </c>
      <c r="AE13" s="133"/>
      <c r="AF13" s="132">
        <f t="shared" ref="AF13:AG13" si="20">$E13*0.025</f>
        <v>4113247.863</v>
      </c>
      <c r="AG13" s="132">
        <f t="shared" si="20"/>
        <v>4113247.863</v>
      </c>
      <c r="AH13" s="88"/>
      <c r="AI13" s="88"/>
      <c r="AJ13" s="88"/>
      <c r="AK13" s="88"/>
      <c r="AL13" s="134"/>
      <c r="AM13" s="134"/>
    </row>
    <row r="14">
      <c r="A14" s="122">
        <f t="shared" si="3"/>
        <v>0.000000003725290298</v>
      </c>
      <c r="B14" s="95" t="s">
        <v>281</v>
      </c>
      <c r="C14" s="122">
        <v>1.0384507E7</v>
      </c>
      <c r="D14" s="123">
        <f t="shared" si="4"/>
        <v>8875647.009</v>
      </c>
      <c r="E14" s="123">
        <f t="shared" si="5"/>
        <v>19261386.74</v>
      </c>
      <c r="F14" s="122">
        <f t="shared" si="6"/>
        <v>18779852.07</v>
      </c>
      <c r="G14" s="112">
        <v>13.0</v>
      </c>
      <c r="H14" s="88"/>
      <c r="I14" s="127"/>
      <c r="J14" s="128"/>
      <c r="K14" s="129"/>
      <c r="L14" s="127"/>
      <c r="M14" s="128"/>
      <c r="N14" s="128"/>
      <c r="O14" s="128"/>
      <c r="P14" s="128"/>
      <c r="Q14" s="129"/>
      <c r="R14" s="135">
        <f t="shared" ref="R14:AB14" si="21">($E14-(sum($I14:$Q14,$AF14:$AG14,$AC14:$AD14)))/($G14-2)</f>
        <v>1532155.763</v>
      </c>
      <c r="S14" s="130">
        <f t="shared" si="21"/>
        <v>1532155.763</v>
      </c>
      <c r="T14" s="130">
        <f t="shared" si="21"/>
        <v>1532155.763</v>
      </c>
      <c r="U14" s="130">
        <f t="shared" si="21"/>
        <v>1532155.763</v>
      </c>
      <c r="V14" s="130">
        <f t="shared" si="21"/>
        <v>1532155.763</v>
      </c>
      <c r="W14" s="130">
        <f t="shared" si="21"/>
        <v>1532155.763</v>
      </c>
      <c r="X14" s="130">
        <f t="shared" si="21"/>
        <v>1532155.763</v>
      </c>
      <c r="Y14" s="130">
        <f t="shared" si="21"/>
        <v>1532155.763</v>
      </c>
      <c r="Z14" s="130">
        <f t="shared" si="21"/>
        <v>1532155.763</v>
      </c>
      <c r="AA14" s="130">
        <f t="shared" si="21"/>
        <v>1532155.763</v>
      </c>
      <c r="AB14" s="130">
        <f t="shared" si="21"/>
        <v>1532155.763</v>
      </c>
      <c r="AC14" s="131">
        <f t="shared" si="18"/>
        <v>963069.3369</v>
      </c>
      <c r="AD14" s="132">
        <f t="shared" si="19"/>
        <v>481534.6684</v>
      </c>
      <c r="AE14" s="133"/>
      <c r="AF14" s="132">
        <f t="shared" ref="AF14:AG14" si="22">$E14*0.025</f>
        <v>481534.6684</v>
      </c>
      <c r="AG14" s="132">
        <f t="shared" si="22"/>
        <v>481534.6684</v>
      </c>
      <c r="AH14" s="88"/>
      <c r="AI14" s="88"/>
      <c r="AJ14" s="88"/>
      <c r="AK14" s="88"/>
      <c r="AL14" s="134"/>
      <c r="AM14" s="134"/>
    </row>
    <row r="15">
      <c r="A15" s="122">
        <f t="shared" si="3"/>
        <v>-0.0000000004656612873</v>
      </c>
      <c r="B15" s="95" t="s">
        <v>282</v>
      </c>
      <c r="C15" s="122">
        <v>1883333.333</v>
      </c>
      <c r="D15" s="123">
        <f t="shared" si="4"/>
        <v>1609686.609</v>
      </c>
      <c r="E15" s="123">
        <f t="shared" si="5"/>
        <v>3493243.51</v>
      </c>
      <c r="F15" s="122">
        <f t="shared" si="6"/>
        <v>3405912.422</v>
      </c>
      <c r="G15" s="112">
        <v>6.0</v>
      </c>
      <c r="H15" s="88"/>
      <c r="I15" s="127"/>
      <c r="J15" s="128"/>
      <c r="K15" s="129"/>
      <c r="L15" s="127"/>
      <c r="M15" s="128"/>
      <c r="N15" s="128"/>
      <c r="O15" s="128"/>
      <c r="P15" s="128"/>
      <c r="Q15" s="129"/>
      <c r="R15" s="127"/>
      <c r="S15" s="128"/>
      <c r="T15" s="128"/>
      <c r="U15" s="128"/>
      <c r="V15" s="128"/>
      <c r="W15" s="128"/>
      <c r="X15" s="128"/>
      <c r="Y15" s="130">
        <f t="shared" ref="Y15:AB15" si="23">($E15-(sum($I15:$Q15,$AF15:$AG15,$AC15:$AD15)))/($G15-2)</f>
        <v>764147.0178</v>
      </c>
      <c r="Z15" s="130">
        <f t="shared" si="23"/>
        <v>764147.0178</v>
      </c>
      <c r="AA15" s="130">
        <f t="shared" si="23"/>
        <v>764147.0178</v>
      </c>
      <c r="AB15" s="130">
        <f t="shared" si="23"/>
        <v>764147.0178</v>
      </c>
      <c r="AC15" s="131">
        <f t="shared" si="18"/>
        <v>174662.1755</v>
      </c>
      <c r="AD15" s="132">
        <f t="shared" si="19"/>
        <v>87331.08775</v>
      </c>
      <c r="AE15" s="133"/>
      <c r="AF15" s="132">
        <f t="shared" ref="AF15:AG15" si="24">$E15*0.025</f>
        <v>87331.08775</v>
      </c>
      <c r="AG15" s="132">
        <f t="shared" si="24"/>
        <v>87331.08775</v>
      </c>
      <c r="AH15" s="88"/>
      <c r="AI15" s="88"/>
      <c r="AJ15" s="88"/>
      <c r="AK15" s="88"/>
      <c r="AL15" s="134"/>
      <c r="AM15" s="134"/>
    </row>
    <row r="16">
      <c r="A16" s="122">
        <f t="shared" si="3"/>
        <v>0</v>
      </c>
      <c r="B16" s="95" t="s">
        <v>283</v>
      </c>
      <c r="C16" s="122">
        <v>1718500.0</v>
      </c>
      <c r="D16" s="123">
        <f t="shared" si="4"/>
        <v>1468803.419</v>
      </c>
      <c r="E16" s="123">
        <f t="shared" si="5"/>
        <v>3187507.419</v>
      </c>
      <c r="F16" s="122">
        <f t="shared" si="6"/>
        <v>3107819.734</v>
      </c>
      <c r="G16" s="112">
        <v>6.0</v>
      </c>
      <c r="H16" s="88"/>
      <c r="I16" s="127"/>
      <c r="J16" s="128"/>
      <c r="K16" s="129"/>
      <c r="L16" s="127"/>
      <c r="M16" s="128"/>
      <c r="N16" s="128"/>
      <c r="O16" s="128"/>
      <c r="P16" s="128"/>
      <c r="Q16" s="129"/>
      <c r="R16" s="127"/>
      <c r="S16" s="128"/>
      <c r="T16" s="128"/>
      <c r="U16" s="128"/>
      <c r="V16" s="128"/>
      <c r="W16" s="128"/>
      <c r="X16" s="128"/>
      <c r="Y16" s="130">
        <f t="shared" ref="Y16:AD16" si="25">($E16-sum($AF16:$AG16))/$G16</f>
        <v>504688.6747</v>
      </c>
      <c r="Z16" s="130">
        <f t="shared" si="25"/>
        <v>504688.6747</v>
      </c>
      <c r="AA16" s="130">
        <f t="shared" si="25"/>
        <v>504688.6747</v>
      </c>
      <c r="AB16" s="130">
        <f t="shared" si="25"/>
        <v>504688.6747</v>
      </c>
      <c r="AC16" s="131">
        <f t="shared" si="25"/>
        <v>504688.6747</v>
      </c>
      <c r="AD16" s="132">
        <f t="shared" si="25"/>
        <v>504688.6747</v>
      </c>
      <c r="AE16" s="133"/>
      <c r="AF16" s="132">
        <f t="shared" ref="AF16:AG16" si="26">$E16*0.025</f>
        <v>79687.68548</v>
      </c>
      <c r="AG16" s="132">
        <f t="shared" si="26"/>
        <v>79687.68548</v>
      </c>
      <c r="AH16" s="88"/>
      <c r="AI16" s="88"/>
      <c r="AJ16" s="88"/>
      <c r="AK16" s="88"/>
      <c r="AL16" s="134"/>
      <c r="AM16" s="134"/>
    </row>
    <row r="17">
      <c r="A17" s="122">
        <f t="shared" si="3"/>
        <v>0</v>
      </c>
      <c r="B17" s="95" t="s">
        <v>284</v>
      </c>
      <c r="C17" s="122">
        <v>4.55622863E7</v>
      </c>
      <c r="D17" s="123">
        <f t="shared" si="4"/>
        <v>38942125.04</v>
      </c>
      <c r="E17" s="123">
        <f t="shared" si="5"/>
        <v>84509819.97</v>
      </c>
      <c r="F17" s="122">
        <f t="shared" si="6"/>
        <v>82397074.47</v>
      </c>
      <c r="G17" s="112">
        <v>13.0</v>
      </c>
      <c r="H17" s="88"/>
      <c r="I17" s="127"/>
      <c r="J17" s="128"/>
      <c r="K17" s="129"/>
      <c r="L17" s="135">
        <f t="shared" ref="L17:Q17" si="27">$C17/$G17/12</f>
        <v>292065.9378</v>
      </c>
      <c r="M17" s="130">
        <f t="shared" si="27"/>
        <v>292065.9378</v>
      </c>
      <c r="N17" s="130">
        <f t="shared" si="27"/>
        <v>292065.9378</v>
      </c>
      <c r="O17" s="130">
        <f t="shared" si="27"/>
        <v>292065.9378</v>
      </c>
      <c r="P17" s="130">
        <f t="shared" si="27"/>
        <v>292065.9378</v>
      </c>
      <c r="Q17" s="131">
        <f t="shared" si="27"/>
        <v>292065.9378</v>
      </c>
      <c r="R17" s="135">
        <f t="shared" ref="R17:AB17" si="28">($E17-(sum($I17:$Q17,$AF17:$AG17,$AC17:$AD17)))/($G17-2)</f>
        <v>6016408.92</v>
      </c>
      <c r="S17" s="130">
        <f t="shared" si="28"/>
        <v>6016408.92</v>
      </c>
      <c r="T17" s="130">
        <f t="shared" si="28"/>
        <v>6016408.92</v>
      </c>
      <c r="U17" s="130">
        <f t="shared" si="28"/>
        <v>6016408.92</v>
      </c>
      <c r="V17" s="130">
        <f t="shared" si="28"/>
        <v>6016408.92</v>
      </c>
      <c r="W17" s="130">
        <f t="shared" si="28"/>
        <v>6016408.92</v>
      </c>
      <c r="X17" s="130">
        <f t="shared" si="28"/>
        <v>6016408.92</v>
      </c>
      <c r="Y17" s="130">
        <f t="shared" si="28"/>
        <v>6016408.92</v>
      </c>
      <c r="Z17" s="130">
        <f t="shared" si="28"/>
        <v>6016408.92</v>
      </c>
      <c r="AA17" s="130">
        <f t="shared" si="28"/>
        <v>6016408.92</v>
      </c>
      <c r="AB17" s="130">
        <f t="shared" si="28"/>
        <v>6016408.92</v>
      </c>
      <c r="AC17" s="131">
        <f t="shared" ref="AC17:AD17" si="29">($E17-sum($AF17:$AG17))/$G17</f>
        <v>6175717.613</v>
      </c>
      <c r="AD17" s="132">
        <f t="shared" si="29"/>
        <v>6175717.613</v>
      </c>
      <c r="AE17" s="133"/>
      <c r="AF17" s="132">
        <f t="shared" ref="AF17:AG17" si="30">$E17*0.025</f>
        <v>2112745.499</v>
      </c>
      <c r="AG17" s="132">
        <f t="shared" si="30"/>
        <v>2112745.499</v>
      </c>
      <c r="AH17" s="88"/>
      <c r="AI17" s="88"/>
      <c r="AJ17" s="88"/>
      <c r="AK17" s="88"/>
      <c r="AL17" s="134"/>
      <c r="AM17" s="134"/>
    </row>
    <row r="18">
      <c r="A18" s="122">
        <f t="shared" si="3"/>
        <v>0.000000003725290298</v>
      </c>
      <c r="B18" s="95" t="s">
        <v>285</v>
      </c>
      <c r="C18" s="122">
        <v>1.21152E7</v>
      </c>
      <c r="D18" s="123">
        <f t="shared" si="4"/>
        <v>10354871.79</v>
      </c>
      <c r="E18" s="123">
        <f t="shared" si="5"/>
        <v>22471509.97</v>
      </c>
      <c r="F18" s="122">
        <f t="shared" si="6"/>
        <v>21909722.22</v>
      </c>
      <c r="G18" s="112">
        <v>13.0</v>
      </c>
      <c r="H18" s="88"/>
      <c r="I18" s="127"/>
      <c r="J18" s="128"/>
      <c r="K18" s="129"/>
      <c r="L18" s="135">
        <f t="shared" ref="L18:Q18" si="31">$C18/$G18/12</f>
        <v>77661.53846</v>
      </c>
      <c r="M18" s="130">
        <f t="shared" si="31"/>
        <v>77661.53846</v>
      </c>
      <c r="N18" s="130">
        <f t="shared" si="31"/>
        <v>77661.53846</v>
      </c>
      <c r="O18" s="130">
        <f t="shared" si="31"/>
        <v>77661.53846</v>
      </c>
      <c r="P18" s="130">
        <f t="shared" si="31"/>
        <v>77661.53846</v>
      </c>
      <c r="Q18" s="131">
        <f t="shared" si="31"/>
        <v>77661.53846</v>
      </c>
      <c r="R18" s="135">
        <f t="shared" ref="R18:AB18" si="32">($E18-(sum($I18:$Q18,$AF18:$AG18,$AC18:$AD18)))/($G18-2)</f>
        <v>1745145.636</v>
      </c>
      <c r="S18" s="130">
        <f t="shared" si="32"/>
        <v>1745145.636</v>
      </c>
      <c r="T18" s="130">
        <f t="shared" si="32"/>
        <v>1745145.636</v>
      </c>
      <c r="U18" s="130">
        <f t="shared" si="32"/>
        <v>1745145.636</v>
      </c>
      <c r="V18" s="130">
        <f t="shared" si="32"/>
        <v>1745145.636</v>
      </c>
      <c r="W18" s="130">
        <f t="shared" si="32"/>
        <v>1745145.636</v>
      </c>
      <c r="X18" s="130">
        <f t="shared" si="32"/>
        <v>1745145.636</v>
      </c>
      <c r="Y18" s="130">
        <f t="shared" si="32"/>
        <v>1745145.636</v>
      </c>
      <c r="Z18" s="130">
        <f t="shared" si="32"/>
        <v>1745145.636</v>
      </c>
      <c r="AA18" s="130">
        <f t="shared" si="32"/>
        <v>1745145.636</v>
      </c>
      <c r="AB18" s="130">
        <f t="shared" si="32"/>
        <v>1745145.636</v>
      </c>
      <c r="AC18" s="131">
        <f>$E18*0.05</f>
        <v>1123575.499</v>
      </c>
      <c r="AD18" s="132">
        <f>$E18*0.025</f>
        <v>561787.7493</v>
      </c>
      <c r="AE18" s="133"/>
      <c r="AF18" s="132">
        <f t="shared" ref="AF18:AG18" si="33">$E18*0.025</f>
        <v>561787.7493</v>
      </c>
      <c r="AG18" s="132">
        <f t="shared" si="33"/>
        <v>561787.7493</v>
      </c>
      <c r="AH18" s="88"/>
      <c r="AI18" s="88"/>
      <c r="AJ18" s="88"/>
      <c r="AK18" s="88"/>
      <c r="AL18" s="134"/>
      <c r="AM18" s="134"/>
    </row>
    <row r="19">
      <c r="A19" s="122">
        <f t="shared" si="3"/>
        <v>0</v>
      </c>
      <c r="B19" s="95" t="s">
        <v>286</v>
      </c>
      <c r="C19" s="137">
        <v>3.0E7</v>
      </c>
      <c r="D19" s="123">
        <f t="shared" si="4"/>
        <v>25641025.64</v>
      </c>
      <c r="E19" s="123">
        <f t="shared" si="5"/>
        <v>55644586.89</v>
      </c>
      <c r="F19" s="122">
        <f t="shared" si="6"/>
        <v>55644586.89</v>
      </c>
      <c r="G19" s="112">
        <v>8.0</v>
      </c>
      <c r="H19" s="88"/>
      <c r="I19" s="127"/>
      <c r="J19" s="128"/>
      <c r="K19" s="129"/>
      <c r="L19" s="135">
        <f t="shared" ref="L19:S19" si="34">$E19/$G19</f>
        <v>6955573.362</v>
      </c>
      <c r="M19" s="130">
        <f t="shared" si="34"/>
        <v>6955573.362</v>
      </c>
      <c r="N19" s="130">
        <f t="shared" si="34"/>
        <v>6955573.362</v>
      </c>
      <c r="O19" s="130">
        <f t="shared" si="34"/>
        <v>6955573.362</v>
      </c>
      <c r="P19" s="130">
        <f t="shared" si="34"/>
        <v>6955573.362</v>
      </c>
      <c r="Q19" s="131">
        <f t="shared" si="34"/>
        <v>6955573.362</v>
      </c>
      <c r="R19" s="135">
        <f t="shared" si="34"/>
        <v>6955573.362</v>
      </c>
      <c r="S19" s="130">
        <f t="shared" si="34"/>
        <v>6955573.362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9"/>
      <c r="AD19" s="136"/>
      <c r="AE19" s="133"/>
      <c r="AF19" s="136"/>
      <c r="AG19" s="136"/>
      <c r="AH19" s="88"/>
      <c r="AI19" s="88"/>
      <c r="AJ19" s="88"/>
      <c r="AK19" s="88"/>
      <c r="AL19" s="134"/>
      <c r="AM19" s="134"/>
    </row>
    <row r="20">
      <c r="A20" s="122">
        <f t="shared" si="3"/>
        <v>0</v>
      </c>
      <c r="B20" s="95" t="s">
        <v>22</v>
      </c>
      <c r="C20" s="122"/>
      <c r="D20" s="123">
        <f t="shared" si="4"/>
        <v>0</v>
      </c>
      <c r="E20" s="138">
        <v>1.2E7</v>
      </c>
      <c r="F20" s="95"/>
      <c r="G20" s="112">
        <v>4.0</v>
      </c>
      <c r="H20" s="88"/>
      <c r="I20" s="127"/>
      <c r="J20" s="128"/>
      <c r="K20" s="129"/>
      <c r="L20" s="127">
        <f>E20</f>
        <v>12000000</v>
      </c>
      <c r="M20" s="128"/>
      <c r="N20" s="128"/>
      <c r="O20" s="128"/>
      <c r="P20" s="128"/>
      <c r="Q20" s="129"/>
      <c r="R20" s="127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9"/>
      <c r="AD20" s="136"/>
      <c r="AE20" s="133"/>
      <c r="AF20" s="136"/>
      <c r="AG20" s="136"/>
      <c r="AH20" s="88"/>
      <c r="AI20" s="88"/>
      <c r="AJ20" s="88"/>
      <c r="AK20" s="88"/>
      <c r="AL20" s="134"/>
      <c r="AM20" s="134"/>
    </row>
    <row r="21">
      <c r="A21" s="122">
        <f t="shared" si="3"/>
        <v>0</v>
      </c>
      <c r="B21" s="95" t="s">
        <v>287</v>
      </c>
      <c r="C21" s="122">
        <v>1909090.909</v>
      </c>
      <c r="D21" s="123">
        <f t="shared" si="4"/>
        <v>1631701.632</v>
      </c>
      <c r="E21" s="123">
        <f t="shared" ref="E21:E26" si="36">D21/$C$4*$E$4</f>
        <v>3541019.166</v>
      </c>
      <c r="F21" s="122">
        <f t="shared" ref="F21:F26" si="37">E21-sum(I21:K21)-AG21</f>
        <v>3541019.166</v>
      </c>
      <c r="G21" s="112">
        <v>9.0</v>
      </c>
      <c r="H21" s="88"/>
      <c r="I21" s="127"/>
      <c r="J21" s="128"/>
      <c r="K21" s="129"/>
      <c r="L21" s="127"/>
      <c r="M21" s="128"/>
      <c r="N21" s="128"/>
      <c r="O21" s="128"/>
      <c r="P21" s="128"/>
      <c r="Q21" s="129"/>
      <c r="R21" s="127"/>
      <c r="S21" s="128"/>
      <c r="T21" s="128"/>
      <c r="U21" s="128"/>
      <c r="V21" s="130">
        <f t="shared" ref="V21:AD21" si="35">$E21/$G21</f>
        <v>393446.574</v>
      </c>
      <c r="W21" s="130">
        <f t="shared" si="35"/>
        <v>393446.574</v>
      </c>
      <c r="X21" s="130">
        <f t="shared" si="35"/>
        <v>393446.574</v>
      </c>
      <c r="Y21" s="130">
        <f t="shared" si="35"/>
        <v>393446.574</v>
      </c>
      <c r="Z21" s="130">
        <f t="shared" si="35"/>
        <v>393446.574</v>
      </c>
      <c r="AA21" s="130">
        <f t="shared" si="35"/>
        <v>393446.574</v>
      </c>
      <c r="AB21" s="130">
        <f t="shared" si="35"/>
        <v>393446.574</v>
      </c>
      <c r="AC21" s="131">
        <f t="shared" si="35"/>
        <v>393446.574</v>
      </c>
      <c r="AD21" s="132">
        <f t="shared" si="35"/>
        <v>393446.574</v>
      </c>
      <c r="AE21" s="133"/>
      <c r="AF21" s="136"/>
      <c r="AG21" s="136"/>
      <c r="AH21" s="88"/>
      <c r="AI21" s="88"/>
      <c r="AJ21" s="88"/>
      <c r="AK21" s="88"/>
      <c r="AL21" s="134"/>
      <c r="AM21" s="134"/>
    </row>
    <row r="22">
      <c r="A22" s="122">
        <f t="shared" si="3"/>
        <v>0</v>
      </c>
      <c r="B22" s="95" t="s">
        <v>288</v>
      </c>
      <c r="C22" s="122">
        <v>2039540.0</v>
      </c>
      <c r="D22" s="123">
        <f t="shared" si="4"/>
        <v>1743196.581</v>
      </c>
      <c r="E22" s="123">
        <f t="shared" si="36"/>
        <v>3782978.692</v>
      </c>
      <c r="F22" s="122">
        <f t="shared" si="37"/>
        <v>3782978.692</v>
      </c>
      <c r="G22" s="112">
        <v>6.0</v>
      </c>
      <c r="H22" s="88"/>
      <c r="I22" s="127"/>
      <c r="J22" s="128"/>
      <c r="K22" s="129"/>
      <c r="L22" s="127"/>
      <c r="M22" s="128"/>
      <c r="N22" s="128"/>
      <c r="O22" s="128"/>
      <c r="P22" s="128"/>
      <c r="Q22" s="129"/>
      <c r="R22" s="127"/>
      <c r="S22" s="128"/>
      <c r="T22" s="128"/>
      <c r="U22" s="128"/>
      <c r="V22" s="128"/>
      <c r="W22" s="128"/>
      <c r="X22" s="128"/>
      <c r="Y22" s="130">
        <f t="shared" ref="Y22:AD22" si="38">$E22/$G22</f>
        <v>630496.4486</v>
      </c>
      <c r="Z22" s="130">
        <f t="shared" si="38"/>
        <v>630496.4486</v>
      </c>
      <c r="AA22" s="130">
        <f t="shared" si="38"/>
        <v>630496.4486</v>
      </c>
      <c r="AB22" s="130">
        <f t="shared" si="38"/>
        <v>630496.4486</v>
      </c>
      <c r="AC22" s="131">
        <f t="shared" si="38"/>
        <v>630496.4486</v>
      </c>
      <c r="AD22" s="132">
        <f t="shared" si="38"/>
        <v>630496.4486</v>
      </c>
      <c r="AE22" s="133"/>
      <c r="AF22" s="136"/>
      <c r="AG22" s="136"/>
      <c r="AH22" s="88"/>
      <c r="AI22" s="88"/>
      <c r="AJ22" s="88"/>
      <c r="AK22" s="88"/>
      <c r="AL22" s="134"/>
      <c r="AM22" s="134"/>
    </row>
    <row r="23">
      <c r="A23" s="122">
        <f t="shared" si="3"/>
        <v>0.0000000004656612873</v>
      </c>
      <c r="B23" s="95" t="s">
        <v>289</v>
      </c>
      <c r="C23" s="122">
        <v>2000000.0</v>
      </c>
      <c r="D23" s="123">
        <f t="shared" si="4"/>
        <v>1709401.709</v>
      </c>
      <c r="E23" s="123">
        <f t="shared" si="36"/>
        <v>3709639.126</v>
      </c>
      <c r="F23" s="122">
        <f t="shared" si="37"/>
        <v>3578436.61</v>
      </c>
      <c r="G23" s="112">
        <v>13.0</v>
      </c>
      <c r="H23" s="88"/>
      <c r="I23" s="135">
        <f t="shared" ref="I23:Q23" si="39">$C23/$G23/12</f>
        <v>12820.51282</v>
      </c>
      <c r="J23" s="130">
        <f t="shared" si="39"/>
        <v>12820.51282</v>
      </c>
      <c r="K23" s="131">
        <f t="shared" si="39"/>
        <v>12820.51282</v>
      </c>
      <c r="L23" s="135">
        <f t="shared" si="39"/>
        <v>12820.51282</v>
      </c>
      <c r="M23" s="130">
        <f t="shared" si="39"/>
        <v>12820.51282</v>
      </c>
      <c r="N23" s="130">
        <f t="shared" si="39"/>
        <v>12820.51282</v>
      </c>
      <c r="O23" s="130">
        <f t="shared" si="39"/>
        <v>12820.51282</v>
      </c>
      <c r="P23" s="130">
        <f t="shared" si="39"/>
        <v>12820.51282</v>
      </c>
      <c r="Q23" s="131">
        <f t="shared" si="39"/>
        <v>12820.51282</v>
      </c>
      <c r="R23" s="135">
        <f t="shared" ref="R23:AB23" si="40">($E23-(sum($I23:$Q23,$AF23:$AG23,$AC23:$AD23)))/($G23-2)</f>
        <v>286050.8437</v>
      </c>
      <c r="S23" s="130">
        <f t="shared" si="40"/>
        <v>286050.8437</v>
      </c>
      <c r="T23" s="130">
        <f t="shared" si="40"/>
        <v>286050.8437</v>
      </c>
      <c r="U23" s="130">
        <f t="shared" si="40"/>
        <v>286050.8437</v>
      </c>
      <c r="V23" s="130">
        <f t="shared" si="40"/>
        <v>286050.8437</v>
      </c>
      <c r="W23" s="130">
        <f t="shared" si="40"/>
        <v>286050.8437</v>
      </c>
      <c r="X23" s="130">
        <f t="shared" si="40"/>
        <v>286050.8437</v>
      </c>
      <c r="Y23" s="130">
        <f t="shared" si="40"/>
        <v>286050.8437</v>
      </c>
      <c r="Z23" s="130">
        <f t="shared" si="40"/>
        <v>286050.8437</v>
      </c>
      <c r="AA23" s="130">
        <f t="shared" si="40"/>
        <v>286050.8437</v>
      </c>
      <c r="AB23" s="130">
        <f t="shared" si="40"/>
        <v>286050.8437</v>
      </c>
      <c r="AC23" s="131">
        <f t="shared" ref="AC23:AD23" si="41">($E23-(sum($I23:$Q23)+sum($AF23:$AG23)))/$G23/2</f>
        <v>131106.6367</v>
      </c>
      <c r="AD23" s="132">
        <f t="shared" si="41"/>
        <v>131106.6367</v>
      </c>
      <c r="AE23" s="133"/>
      <c r="AF23" s="132">
        <f t="shared" ref="AF23:AG23" si="42">$E23*0.025</f>
        <v>92740.97816</v>
      </c>
      <c r="AG23" s="132">
        <f t="shared" si="42"/>
        <v>92740.97816</v>
      </c>
      <c r="AH23" s="88"/>
      <c r="AI23" s="88"/>
      <c r="AJ23" s="88"/>
      <c r="AK23" s="88"/>
      <c r="AL23" s="134"/>
      <c r="AM23" s="134"/>
    </row>
    <row r="24">
      <c r="A24" s="122">
        <f t="shared" si="3"/>
        <v>0</v>
      </c>
      <c r="B24" s="95" t="s">
        <v>290</v>
      </c>
      <c r="C24" s="122">
        <f>5%*sum(C8:C19)</f>
        <v>18491313.44</v>
      </c>
      <c r="D24" s="123">
        <f t="shared" si="4"/>
        <v>15804541.4</v>
      </c>
      <c r="E24" s="123">
        <f t="shared" si="36"/>
        <v>34298049.92</v>
      </c>
      <c r="F24" s="122">
        <f t="shared" si="37"/>
        <v>33487893.3</v>
      </c>
      <c r="G24" s="112">
        <v>24.0</v>
      </c>
      <c r="H24" s="88"/>
      <c r="I24" s="135">
        <f t="shared" ref="I24:AD24" si="43">5%*sum(I8:I19)</f>
        <v>8000</v>
      </c>
      <c r="J24" s="130">
        <f t="shared" si="43"/>
        <v>8000</v>
      </c>
      <c r="K24" s="131">
        <f t="shared" si="43"/>
        <v>8000</v>
      </c>
      <c r="L24" s="135">
        <f t="shared" si="43"/>
        <v>452433.5471</v>
      </c>
      <c r="M24" s="130">
        <f t="shared" si="43"/>
        <v>452433.5471</v>
      </c>
      <c r="N24" s="130">
        <f t="shared" si="43"/>
        <v>452433.5471</v>
      </c>
      <c r="O24" s="130">
        <f t="shared" si="43"/>
        <v>452433.5471</v>
      </c>
      <c r="P24" s="130">
        <f t="shared" si="43"/>
        <v>452433.5471</v>
      </c>
      <c r="Q24" s="131">
        <f t="shared" si="43"/>
        <v>452433.5471</v>
      </c>
      <c r="R24" s="135">
        <f t="shared" si="43"/>
        <v>2727697.316</v>
      </c>
      <c r="S24" s="130">
        <f t="shared" si="43"/>
        <v>2727697.316</v>
      </c>
      <c r="T24" s="130">
        <f t="shared" si="43"/>
        <v>2371411.681</v>
      </c>
      <c r="U24" s="130">
        <f t="shared" si="43"/>
        <v>2385734.598</v>
      </c>
      <c r="V24" s="130">
        <f t="shared" si="43"/>
        <v>2385734.598</v>
      </c>
      <c r="W24" s="130">
        <f t="shared" si="43"/>
        <v>2385734.598</v>
      </c>
      <c r="X24" s="130">
        <f t="shared" si="43"/>
        <v>2385734.598</v>
      </c>
      <c r="Y24" s="130">
        <f t="shared" si="43"/>
        <v>2449176.382</v>
      </c>
      <c r="Z24" s="130">
        <f t="shared" si="43"/>
        <v>2449176.382</v>
      </c>
      <c r="AA24" s="130">
        <f t="shared" si="43"/>
        <v>2449176.382</v>
      </c>
      <c r="AB24" s="130">
        <f t="shared" si="43"/>
        <v>2449176.382</v>
      </c>
      <c r="AC24" s="131">
        <f t="shared" si="43"/>
        <v>1748610.064</v>
      </c>
      <c r="AD24" s="132">
        <f t="shared" si="43"/>
        <v>1072075.102</v>
      </c>
      <c r="AE24" s="133"/>
      <c r="AF24" s="132">
        <f t="shared" ref="AF24:AG24" si="44">5%*sum(AF8:AF19)</f>
        <v>786156.6211</v>
      </c>
      <c r="AG24" s="132">
        <f t="shared" si="44"/>
        <v>786156.6211</v>
      </c>
      <c r="AH24" s="88"/>
      <c r="AI24" s="88"/>
      <c r="AJ24" s="88"/>
      <c r="AK24" s="88"/>
      <c r="AL24" s="134"/>
      <c r="AM24" s="134"/>
    </row>
    <row r="25">
      <c r="A25" s="122">
        <f t="shared" si="3"/>
        <v>-0.000000003725290298</v>
      </c>
      <c r="B25" s="95" t="s">
        <v>291</v>
      </c>
      <c r="C25" s="122">
        <f>sum(C8:C24)*3%</f>
        <v>11827986.4</v>
      </c>
      <c r="D25" s="123">
        <f t="shared" si="4"/>
        <v>10109390.08</v>
      </c>
      <c r="E25" s="123">
        <f t="shared" si="36"/>
        <v>21938780.56</v>
      </c>
      <c r="F25" s="122">
        <f t="shared" si="37"/>
        <v>18282317.13</v>
      </c>
      <c r="G25" s="112">
        <v>24.0</v>
      </c>
      <c r="H25" s="88"/>
      <c r="I25" s="135">
        <f t="shared" ref="I25:AD25" si="45">$E25/$G25</f>
        <v>914115.8567</v>
      </c>
      <c r="J25" s="130">
        <f t="shared" si="45"/>
        <v>914115.8567</v>
      </c>
      <c r="K25" s="131">
        <f t="shared" si="45"/>
        <v>914115.8567</v>
      </c>
      <c r="L25" s="135">
        <f t="shared" si="45"/>
        <v>914115.8567</v>
      </c>
      <c r="M25" s="130">
        <f t="shared" si="45"/>
        <v>914115.8567</v>
      </c>
      <c r="N25" s="130">
        <f t="shared" si="45"/>
        <v>914115.8567</v>
      </c>
      <c r="O25" s="130">
        <f t="shared" si="45"/>
        <v>914115.8567</v>
      </c>
      <c r="P25" s="130">
        <f t="shared" si="45"/>
        <v>914115.8567</v>
      </c>
      <c r="Q25" s="131">
        <f t="shared" si="45"/>
        <v>914115.8567</v>
      </c>
      <c r="R25" s="135">
        <f t="shared" si="45"/>
        <v>914115.8567</v>
      </c>
      <c r="S25" s="130">
        <f t="shared" si="45"/>
        <v>914115.8567</v>
      </c>
      <c r="T25" s="130">
        <f t="shared" si="45"/>
        <v>914115.8567</v>
      </c>
      <c r="U25" s="130">
        <f t="shared" si="45"/>
        <v>914115.8567</v>
      </c>
      <c r="V25" s="130">
        <f t="shared" si="45"/>
        <v>914115.8567</v>
      </c>
      <c r="W25" s="130">
        <f t="shared" si="45"/>
        <v>914115.8567</v>
      </c>
      <c r="X25" s="130">
        <f t="shared" si="45"/>
        <v>914115.8567</v>
      </c>
      <c r="Y25" s="130">
        <f t="shared" si="45"/>
        <v>914115.8567</v>
      </c>
      <c r="Z25" s="130">
        <f t="shared" si="45"/>
        <v>914115.8567</v>
      </c>
      <c r="AA25" s="130">
        <f t="shared" si="45"/>
        <v>914115.8567</v>
      </c>
      <c r="AB25" s="130">
        <f t="shared" si="45"/>
        <v>914115.8567</v>
      </c>
      <c r="AC25" s="131">
        <f t="shared" si="45"/>
        <v>914115.8567</v>
      </c>
      <c r="AD25" s="132">
        <f t="shared" si="45"/>
        <v>914115.8567</v>
      </c>
      <c r="AE25" s="133"/>
      <c r="AF25" s="132">
        <f t="shared" ref="AF25:AG25" si="46">$E25/$G25</f>
        <v>914115.8567</v>
      </c>
      <c r="AG25" s="132">
        <f t="shared" si="46"/>
        <v>914115.8567</v>
      </c>
      <c r="AH25" s="88"/>
      <c r="AI25" s="88"/>
      <c r="AJ25" s="88"/>
      <c r="AK25" s="88"/>
      <c r="AL25" s="134"/>
      <c r="AM25" s="134"/>
    </row>
    <row r="26">
      <c r="A26" s="122">
        <f t="shared" si="3"/>
        <v>0.00000004470348358</v>
      </c>
      <c r="B26" s="95" t="s">
        <v>292</v>
      </c>
      <c r="C26" s="122">
        <f>sum(C8:C24)*0.1</f>
        <v>39426621.32</v>
      </c>
      <c r="D26" s="123">
        <f t="shared" si="4"/>
        <v>33697966.94</v>
      </c>
      <c r="E26" s="123">
        <f t="shared" si="36"/>
        <v>73129268.53</v>
      </c>
      <c r="F26" s="122">
        <f t="shared" si="37"/>
        <v>70972555.91</v>
      </c>
      <c r="G26" s="112">
        <v>13.0</v>
      </c>
      <c r="H26" s="88"/>
      <c r="I26" s="135">
        <f t="shared" ref="I26:K26" si="47">sum(I8:I25)*0.1</f>
        <v>109493.6369</v>
      </c>
      <c r="J26" s="130">
        <f t="shared" si="47"/>
        <v>109493.6369</v>
      </c>
      <c r="K26" s="131">
        <f t="shared" si="47"/>
        <v>109493.6369</v>
      </c>
      <c r="L26" s="135">
        <f t="shared" ref="L26:Q26" si="48">$C26/$G26/12</f>
        <v>252734.7521</v>
      </c>
      <c r="M26" s="130">
        <f t="shared" si="48"/>
        <v>252734.7521</v>
      </c>
      <c r="N26" s="130">
        <f t="shared" si="48"/>
        <v>252734.7521</v>
      </c>
      <c r="O26" s="130">
        <f t="shared" si="48"/>
        <v>252734.7521</v>
      </c>
      <c r="P26" s="130">
        <f t="shared" si="48"/>
        <v>252734.7521</v>
      </c>
      <c r="Q26" s="131">
        <f t="shared" si="48"/>
        <v>252734.7521</v>
      </c>
      <c r="R26" s="135">
        <f t="shared" ref="R26:AB26" si="49">($E26-(sum($I26:$Q26,$AF26:$AG26,$AC26:$AD26)))/($G26-2)</f>
        <v>5675069.848</v>
      </c>
      <c r="S26" s="130">
        <f t="shared" si="49"/>
        <v>5675069.848</v>
      </c>
      <c r="T26" s="130">
        <f t="shared" si="49"/>
        <v>5675069.848</v>
      </c>
      <c r="U26" s="130">
        <f t="shared" si="49"/>
        <v>5675069.848</v>
      </c>
      <c r="V26" s="130">
        <f t="shared" si="49"/>
        <v>5675069.848</v>
      </c>
      <c r="W26" s="130">
        <f t="shared" si="49"/>
        <v>5675069.848</v>
      </c>
      <c r="X26" s="130">
        <f t="shared" si="49"/>
        <v>5675069.848</v>
      </c>
      <c r="Y26" s="130">
        <f t="shared" si="49"/>
        <v>5675069.848</v>
      </c>
      <c r="Z26" s="130">
        <f t="shared" si="49"/>
        <v>5675069.848</v>
      </c>
      <c r="AA26" s="130">
        <f t="shared" si="49"/>
        <v>5675069.848</v>
      </c>
      <c r="AB26" s="130">
        <f t="shared" si="49"/>
        <v>5675069.848</v>
      </c>
      <c r="AC26" s="131">
        <f t="shared" ref="AC26:AD26" si="50">($E26-(sum($I26:$Q26)+sum($AF26:$AG26)))/$G26/2</f>
        <v>2601073.68</v>
      </c>
      <c r="AD26" s="132">
        <f t="shared" si="50"/>
        <v>2601073.68</v>
      </c>
      <c r="AE26" s="133"/>
      <c r="AF26" s="132">
        <f t="shared" ref="AF26:AG26" si="51">$E26*0.025</f>
        <v>1828231.713</v>
      </c>
      <c r="AG26" s="132">
        <f t="shared" si="51"/>
        <v>1828231.713</v>
      </c>
      <c r="AH26" s="88"/>
      <c r="AI26" s="88"/>
      <c r="AJ26" s="88"/>
      <c r="AK26" s="88"/>
      <c r="AL26" s="134"/>
      <c r="AM26" s="134"/>
    </row>
    <row r="27">
      <c r="A27" s="122">
        <f t="shared" si="3"/>
        <v>0.0000002384185791</v>
      </c>
      <c r="B27" s="139" t="s">
        <v>24</v>
      </c>
      <c r="C27" s="122">
        <f>sum(C8:C26)</f>
        <v>445520820.9</v>
      </c>
      <c r="D27" s="123">
        <f t="shared" si="4"/>
        <v>380787026.4</v>
      </c>
      <c r="E27" s="123">
        <f t="shared" ref="E27:F27" si="52">sum(E8:E26)</f>
        <v>838360734.4</v>
      </c>
      <c r="F27" s="122">
        <f t="shared" si="52"/>
        <v>803403066.8</v>
      </c>
      <c r="G27" s="88"/>
      <c r="H27" s="88"/>
      <c r="I27" s="140">
        <f t="shared" ref="I27:AD27" si="53">sum(I8:I26)</f>
        <v>1204430.006</v>
      </c>
      <c r="J27" s="141">
        <f t="shared" si="53"/>
        <v>1204430.006</v>
      </c>
      <c r="K27" s="142">
        <f t="shared" si="53"/>
        <v>1204430.006</v>
      </c>
      <c r="L27" s="140">
        <f t="shared" si="53"/>
        <v>22680775.61</v>
      </c>
      <c r="M27" s="141">
        <f t="shared" si="53"/>
        <v>10680775.61</v>
      </c>
      <c r="N27" s="141">
        <f t="shared" si="53"/>
        <v>10680775.61</v>
      </c>
      <c r="O27" s="141">
        <f t="shared" si="53"/>
        <v>10680775.61</v>
      </c>
      <c r="P27" s="141">
        <f t="shared" si="53"/>
        <v>10680775.61</v>
      </c>
      <c r="Q27" s="142">
        <f t="shared" si="53"/>
        <v>10680775.61</v>
      </c>
      <c r="R27" s="140">
        <f t="shared" si="53"/>
        <v>64156880.18</v>
      </c>
      <c r="S27" s="141">
        <f t="shared" si="53"/>
        <v>64156880.18</v>
      </c>
      <c r="T27" s="141">
        <f t="shared" si="53"/>
        <v>56674881.85</v>
      </c>
      <c r="U27" s="141">
        <f t="shared" si="53"/>
        <v>56975663.1</v>
      </c>
      <c r="V27" s="141">
        <f t="shared" si="53"/>
        <v>57369109.67</v>
      </c>
      <c r="W27" s="141">
        <f t="shared" si="53"/>
        <v>57369109.67</v>
      </c>
      <c r="X27" s="141">
        <f t="shared" si="53"/>
        <v>57369109.67</v>
      </c>
      <c r="Y27" s="141">
        <f t="shared" si="53"/>
        <v>59331883.6</v>
      </c>
      <c r="Z27" s="141">
        <f t="shared" si="53"/>
        <v>59331883.6</v>
      </c>
      <c r="AA27" s="141">
        <f t="shared" si="53"/>
        <v>59331883.6</v>
      </c>
      <c r="AB27" s="141">
        <f t="shared" si="53"/>
        <v>59331883.6</v>
      </c>
      <c r="AC27" s="142">
        <f t="shared" si="53"/>
        <v>41391050.54</v>
      </c>
      <c r="AD27" s="143">
        <f t="shared" si="53"/>
        <v>27183816.34</v>
      </c>
      <c r="AE27" s="133"/>
      <c r="AF27" s="143">
        <f t="shared" ref="AF27:AG27" si="54">sum(AF8:AF26)</f>
        <v>19344377.59</v>
      </c>
      <c r="AG27" s="143">
        <f t="shared" si="54"/>
        <v>19344377.59</v>
      </c>
      <c r="AH27" s="88"/>
      <c r="AI27" s="134"/>
      <c r="AJ27" s="134"/>
      <c r="AK27" s="134"/>
      <c r="AL27" s="134"/>
      <c r="AM27" s="134"/>
    </row>
    <row r="28">
      <c r="A28" s="88"/>
      <c r="B28" s="88"/>
      <c r="C28" s="88"/>
      <c r="D28" s="88"/>
      <c r="E28" s="144"/>
      <c r="F28" s="88"/>
      <c r="G28" s="95"/>
      <c r="H28" s="88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88"/>
      <c r="AI28" s="134"/>
      <c r="AJ28" s="134"/>
      <c r="AK28" s="134"/>
      <c r="AL28" s="134"/>
      <c r="AM28" s="134"/>
    </row>
    <row r="29">
      <c r="A29" s="145"/>
      <c r="B29" s="146" t="s">
        <v>259</v>
      </c>
      <c r="C29" s="88"/>
      <c r="D29" s="88"/>
      <c r="E29" s="144"/>
      <c r="F29" s="88"/>
      <c r="G29" s="95"/>
      <c r="H29" s="88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88"/>
      <c r="AI29" s="134"/>
      <c r="AJ29" s="134"/>
      <c r="AK29" s="134"/>
      <c r="AL29" s="134"/>
      <c r="AM29" s="134"/>
    </row>
    <row r="30">
      <c r="A30" s="88"/>
      <c r="B30" s="95" t="s">
        <v>266</v>
      </c>
      <c r="C30" s="122"/>
      <c r="D30" s="122"/>
      <c r="E30" s="123">
        <f t="shared" ref="E30:F30" si="55">sum(E8:E19)+E24+E25</f>
        <v>742197828.9</v>
      </c>
      <c r="F30" s="122">
        <f t="shared" si="55"/>
        <v>721528076.4</v>
      </c>
      <c r="G30" s="95"/>
      <c r="H30" s="88"/>
      <c r="I30" s="123">
        <f t="shared" ref="I30:AD30" si="56">sum(I8:I19)+I24+I25</f>
        <v>1082115.857</v>
      </c>
      <c r="J30" s="123">
        <f t="shared" si="56"/>
        <v>1082115.857</v>
      </c>
      <c r="K30" s="123">
        <f t="shared" si="56"/>
        <v>1082115.857</v>
      </c>
      <c r="L30" s="123">
        <f t="shared" si="56"/>
        <v>10415220.35</v>
      </c>
      <c r="M30" s="123">
        <f t="shared" si="56"/>
        <v>10415220.35</v>
      </c>
      <c r="N30" s="123">
        <f t="shared" si="56"/>
        <v>10415220.35</v>
      </c>
      <c r="O30" s="123">
        <f t="shared" si="56"/>
        <v>10415220.35</v>
      </c>
      <c r="P30" s="123">
        <f t="shared" si="56"/>
        <v>10415220.35</v>
      </c>
      <c r="Q30" s="123">
        <f t="shared" si="56"/>
        <v>10415220.35</v>
      </c>
      <c r="R30" s="123">
        <f t="shared" si="56"/>
        <v>58195759.49</v>
      </c>
      <c r="S30" s="123">
        <f t="shared" si="56"/>
        <v>58195759.49</v>
      </c>
      <c r="T30" s="123">
        <f t="shared" si="56"/>
        <v>50713761.16</v>
      </c>
      <c r="U30" s="123">
        <f t="shared" si="56"/>
        <v>51014542.41</v>
      </c>
      <c r="V30" s="123">
        <f t="shared" si="56"/>
        <v>51014542.41</v>
      </c>
      <c r="W30" s="123">
        <f t="shared" si="56"/>
        <v>51014542.41</v>
      </c>
      <c r="X30" s="123">
        <f t="shared" si="56"/>
        <v>51014542.41</v>
      </c>
      <c r="Y30" s="123">
        <f t="shared" si="56"/>
        <v>52346819.88</v>
      </c>
      <c r="Z30" s="123">
        <f t="shared" si="56"/>
        <v>52346819.88</v>
      </c>
      <c r="AA30" s="123">
        <f t="shared" si="56"/>
        <v>52346819.88</v>
      </c>
      <c r="AB30" s="123">
        <f t="shared" si="56"/>
        <v>52346819.88</v>
      </c>
      <c r="AC30" s="123">
        <f t="shared" si="56"/>
        <v>37634927.2</v>
      </c>
      <c r="AD30" s="123">
        <f t="shared" si="56"/>
        <v>23427693</v>
      </c>
      <c r="AE30" s="144"/>
      <c r="AF30" s="123">
        <f t="shared" ref="AF30:AG30" si="57">sum(AF8:AF19)+AF24+AF25</f>
        <v>17423404.9</v>
      </c>
      <c r="AG30" s="123">
        <f t="shared" si="57"/>
        <v>17423404.9</v>
      </c>
      <c r="AH30" s="88"/>
      <c r="AI30" s="134"/>
      <c r="AJ30" s="134"/>
      <c r="AK30" s="134"/>
      <c r="AL30" s="134"/>
      <c r="AM30" s="134"/>
    </row>
    <row r="31">
      <c r="A31" s="145"/>
      <c r="B31" s="95" t="s">
        <v>293</v>
      </c>
      <c r="C31" s="122"/>
      <c r="D31" s="122"/>
      <c r="E31" s="123">
        <f t="shared" ref="E31:F31" si="58">E21+E22+E23</f>
        <v>11033636.98</v>
      </c>
      <c r="F31" s="122">
        <f t="shared" si="58"/>
        <v>10902434.47</v>
      </c>
      <c r="G31" s="95"/>
      <c r="H31" s="95"/>
      <c r="I31" s="123">
        <f t="shared" ref="I31:AD31" si="59">I21+I22+I23</f>
        <v>12820.51282</v>
      </c>
      <c r="J31" s="123">
        <f t="shared" si="59"/>
        <v>12820.51282</v>
      </c>
      <c r="K31" s="123">
        <f t="shared" si="59"/>
        <v>12820.51282</v>
      </c>
      <c r="L31" s="123">
        <f t="shared" si="59"/>
        <v>12820.51282</v>
      </c>
      <c r="M31" s="123">
        <f t="shared" si="59"/>
        <v>12820.51282</v>
      </c>
      <c r="N31" s="123">
        <f t="shared" si="59"/>
        <v>12820.51282</v>
      </c>
      <c r="O31" s="123">
        <f t="shared" si="59"/>
        <v>12820.51282</v>
      </c>
      <c r="P31" s="123">
        <f t="shared" si="59"/>
        <v>12820.51282</v>
      </c>
      <c r="Q31" s="123">
        <f t="shared" si="59"/>
        <v>12820.51282</v>
      </c>
      <c r="R31" s="123">
        <f t="shared" si="59"/>
        <v>286050.8437</v>
      </c>
      <c r="S31" s="123">
        <f t="shared" si="59"/>
        <v>286050.8437</v>
      </c>
      <c r="T31" s="123">
        <f t="shared" si="59"/>
        <v>286050.8437</v>
      </c>
      <c r="U31" s="123">
        <f t="shared" si="59"/>
        <v>286050.8437</v>
      </c>
      <c r="V31" s="123">
        <f t="shared" si="59"/>
        <v>679497.4177</v>
      </c>
      <c r="W31" s="123">
        <f t="shared" si="59"/>
        <v>679497.4177</v>
      </c>
      <c r="X31" s="123">
        <f t="shared" si="59"/>
        <v>679497.4177</v>
      </c>
      <c r="Y31" s="123">
        <f t="shared" si="59"/>
        <v>1309993.866</v>
      </c>
      <c r="Z31" s="123">
        <f t="shared" si="59"/>
        <v>1309993.866</v>
      </c>
      <c r="AA31" s="123">
        <f t="shared" si="59"/>
        <v>1309993.866</v>
      </c>
      <c r="AB31" s="123">
        <f t="shared" si="59"/>
        <v>1309993.866</v>
      </c>
      <c r="AC31" s="123">
        <f t="shared" si="59"/>
        <v>1155049.659</v>
      </c>
      <c r="AD31" s="123">
        <f t="shared" si="59"/>
        <v>1155049.659</v>
      </c>
      <c r="AE31" s="144"/>
      <c r="AF31" s="123">
        <f t="shared" ref="AF31:AG31" si="60">AF21+AF22+AF23</f>
        <v>92740.97816</v>
      </c>
      <c r="AG31" s="123">
        <f t="shared" si="60"/>
        <v>92740.97816</v>
      </c>
      <c r="AH31" s="134"/>
      <c r="AI31" s="134"/>
      <c r="AJ31" s="134"/>
      <c r="AK31" s="134"/>
      <c r="AL31" s="134"/>
      <c r="AM31" s="134"/>
    </row>
    <row r="32">
      <c r="A32" s="145"/>
      <c r="B32" s="95" t="s">
        <v>294</v>
      </c>
      <c r="C32" s="122"/>
      <c r="D32" s="122"/>
      <c r="E32" s="123">
        <f t="shared" ref="E32:F32" si="61">E26</f>
        <v>73129268.53</v>
      </c>
      <c r="F32" s="122">
        <f t="shared" si="61"/>
        <v>70972555.91</v>
      </c>
      <c r="G32" s="95"/>
      <c r="H32" s="95"/>
      <c r="I32" s="123">
        <f t="shared" ref="I32:AD32" si="62">I26</f>
        <v>109493.6369</v>
      </c>
      <c r="J32" s="123">
        <f t="shared" si="62"/>
        <v>109493.6369</v>
      </c>
      <c r="K32" s="123">
        <f t="shared" si="62"/>
        <v>109493.6369</v>
      </c>
      <c r="L32" s="123">
        <f t="shared" si="62"/>
        <v>252734.7521</v>
      </c>
      <c r="M32" s="123">
        <f t="shared" si="62"/>
        <v>252734.7521</v>
      </c>
      <c r="N32" s="123">
        <f t="shared" si="62"/>
        <v>252734.7521</v>
      </c>
      <c r="O32" s="123">
        <f t="shared" si="62"/>
        <v>252734.7521</v>
      </c>
      <c r="P32" s="123">
        <f t="shared" si="62"/>
        <v>252734.7521</v>
      </c>
      <c r="Q32" s="123">
        <f t="shared" si="62"/>
        <v>252734.7521</v>
      </c>
      <c r="R32" s="123">
        <f t="shared" si="62"/>
        <v>5675069.848</v>
      </c>
      <c r="S32" s="123">
        <f t="shared" si="62"/>
        <v>5675069.848</v>
      </c>
      <c r="T32" s="123">
        <f t="shared" si="62"/>
        <v>5675069.848</v>
      </c>
      <c r="U32" s="123">
        <f t="shared" si="62"/>
        <v>5675069.848</v>
      </c>
      <c r="V32" s="123">
        <f t="shared" si="62"/>
        <v>5675069.848</v>
      </c>
      <c r="W32" s="123">
        <f t="shared" si="62"/>
        <v>5675069.848</v>
      </c>
      <c r="X32" s="123">
        <f t="shared" si="62"/>
        <v>5675069.848</v>
      </c>
      <c r="Y32" s="123">
        <f t="shared" si="62"/>
        <v>5675069.848</v>
      </c>
      <c r="Z32" s="123">
        <f t="shared" si="62"/>
        <v>5675069.848</v>
      </c>
      <c r="AA32" s="123">
        <f t="shared" si="62"/>
        <v>5675069.848</v>
      </c>
      <c r="AB32" s="123">
        <f t="shared" si="62"/>
        <v>5675069.848</v>
      </c>
      <c r="AC32" s="123">
        <f t="shared" si="62"/>
        <v>2601073.68</v>
      </c>
      <c r="AD32" s="123">
        <f t="shared" si="62"/>
        <v>2601073.68</v>
      </c>
      <c r="AE32" s="144"/>
      <c r="AF32" s="123">
        <f t="shared" ref="AF32:AG32" si="63">AF26</f>
        <v>1828231.713</v>
      </c>
      <c r="AG32" s="123">
        <f t="shared" si="63"/>
        <v>1828231.713</v>
      </c>
      <c r="AH32" s="134"/>
      <c r="AI32" s="134"/>
      <c r="AJ32" s="134"/>
      <c r="AK32" s="134"/>
      <c r="AL32" s="134"/>
      <c r="AM32" s="134"/>
    </row>
    <row r="33">
      <c r="A33" s="88"/>
      <c r="B33" s="95"/>
      <c r="C33" s="88"/>
      <c r="D33" s="95"/>
      <c r="E33" s="144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134"/>
      <c r="AI33" s="134"/>
      <c r="AJ33" s="134"/>
      <c r="AK33" s="134"/>
      <c r="AL33" s="134"/>
      <c r="AM33" s="134"/>
    </row>
    <row r="34">
      <c r="A34" s="88"/>
      <c r="B34" s="88" t="str">
        <f>Model!B11</f>
        <v>Land</v>
      </c>
      <c r="C34" s="94"/>
      <c r="D34" s="122"/>
      <c r="E34" s="123">
        <f>Model!C11</f>
        <v>120000000</v>
      </c>
      <c r="F34" s="88"/>
      <c r="G34" s="95"/>
      <c r="H34" s="95"/>
      <c r="I34" s="95"/>
      <c r="J34" s="95"/>
      <c r="K34" s="95"/>
      <c r="L34" s="122">
        <f t="shared" ref="L34:L36" si="64">E34</f>
        <v>120000000</v>
      </c>
      <c r="M34" s="122"/>
      <c r="N34" s="122"/>
      <c r="O34" s="122"/>
      <c r="P34" s="122"/>
      <c r="Q34" s="122"/>
      <c r="R34" s="122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34"/>
      <c r="AI34" s="134"/>
      <c r="AJ34" s="134"/>
      <c r="AK34" s="134"/>
      <c r="AL34" s="134"/>
      <c r="AM34" s="134"/>
    </row>
    <row r="35">
      <c r="A35" s="88"/>
      <c r="B35" s="88" t="str">
        <f>Model!B12</f>
        <v>Additional Land</v>
      </c>
      <c r="C35" s="94"/>
      <c r="D35" s="122"/>
      <c r="E35" s="123">
        <f>Model!C12</f>
        <v>1000000</v>
      </c>
      <c r="F35" s="95"/>
      <c r="G35" s="95"/>
      <c r="H35" s="95"/>
      <c r="I35" s="95"/>
      <c r="J35" s="95"/>
      <c r="K35" s="95"/>
      <c r="L35" s="122">
        <f t="shared" si="64"/>
        <v>1000000</v>
      </c>
      <c r="M35" s="122"/>
      <c r="N35" s="122"/>
      <c r="O35" s="122"/>
      <c r="P35" s="122"/>
      <c r="Q35" s="122"/>
      <c r="R35" s="122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134"/>
      <c r="AI35" s="134"/>
      <c r="AJ35" s="134"/>
      <c r="AK35" s="134"/>
      <c r="AL35" s="134"/>
      <c r="AM35" s="134"/>
    </row>
    <row r="36">
      <c r="A36" s="88"/>
      <c r="B36" s="88" t="str">
        <f>Model!B13</f>
        <v>Grid Connection</v>
      </c>
      <c r="C36" s="94"/>
      <c r="D36" s="122"/>
      <c r="E36" s="138" t="s">
        <v>295</v>
      </c>
      <c r="F36" s="88"/>
      <c r="G36" s="95"/>
      <c r="H36" s="95"/>
      <c r="I36" s="95"/>
      <c r="J36" s="95"/>
      <c r="K36" s="95"/>
      <c r="L36" s="122" t="str">
        <f t="shared" si="64"/>
        <v>incl</v>
      </c>
      <c r="M36" s="122"/>
      <c r="N36" s="122"/>
      <c r="O36" s="122"/>
      <c r="P36" s="122"/>
      <c r="Q36" s="122"/>
      <c r="R36" s="122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134"/>
      <c r="AI36" s="134"/>
      <c r="AJ36" s="134"/>
      <c r="AK36" s="134"/>
      <c r="AL36" s="134"/>
      <c r="AM36" s="134"/>
    </row>
    <row r="37">
      <c r="A37" s="88"/>
      <c r="B37" s="88" t="str">
        <f>Model!B17</f>
        <v>Stamp Duty &amp; Fees (10%)</v>
      </c>
      <c r="C37" s="94"/>
      <c r="D37" s="122"/>
      <c r="E37" s="123">
        <f>Model!C17</f>
        <v>21500000</v>
      </c>
      <c r="F37" s="88"/>
      <c r="G37" s="112">
        <v>6.0</v>
      </c>
      <c r="H37" s="95"/>
      <c r="I37" s="95"/>
      <c r="J37" s="95"/>
      <c r="K37" s="95"/>
      <c r="L37" s="122">
        <f t="shared" ref="L37:Q37" si="65">$E37/$G37</f>
        <v>3583333.333</v>
      </c>
      <c r="M37" s="122">
        <f t="shared" si="65"/>
        <v>3583333.333</v>
      </c>
      <c r="N37" s="122">
        <f t="shared" si="65"/>
        <v>3583333.333</v>
      </c>
      <c r="O37" s="122">
        <f t="shared" si="65"/>
        <v>3583333.333</v>
      </c>
      <c r="P37" s="122">
        <f t="shared" si="65"/>
        <v>3583333.333</v>
      </c>
      <c r="Q37" s="122">
        <f t="shared" si="65"/>
        <v>3583333.333</v>
      </c>
      <c r="R37" s="122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134"/>
      <c r="AI37" s="134"/>
      <c r="AJ37" s="134"/>
      <c r="AK37" s="134"/>
      <c r="AL37" s="134"/>
      <c r="AM37" s="134"/>
    </row>
    <row r="38">
      <c r="A38" s="88"/>
      <c r="B38" s="88"/>
      <c r="C38" s="88"/>
      <c r="D38" s="88"/>
      <c r="E38" s="144"/>
      <c r="F38" s="88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134"/>
      <c r="AI38" s="134"/>
      <c r="AJ38" s="134"/>
      <c r="AK38" s="134"/>
      <c r="AL38" s="134"/>
      <c r="AM38" s="134"/>
    </row>
    <row r="39">
      <c r="A39" s="88"/>
      <c r="B39" s="146" t="s">
        <v>296</v>
      </c>
      <c r="C39" s="88"/>
      <c r="D39" s="88"/>
      <c r="E39" s="88"/>
      <c r="F39" s="88"/>
      <c r="G39" s="95"/>
      <c r="H39" s="95"/>
      <c r="I39" s="147">
        <f>sum(I30:I37)</f>
        <v>1204430.006</v>
      </c>
      <c r="J39" s="147">
        <f t="shared" ref="J39:AD39" si="66">I39+sum(J30:J37)</f>
        <v>2408860.013</v>
      </c>
      <c r="K39" s="147">
        <f t="shared" si="66"/>
        <v>3613290.019</v>
      </c>
      <c r="L39" s="147">
        <f t="shared" si="66"/>
        <v>138877399</v>
      </c>
      <c r="M39" s="147">
        <f t="shared" si="66"/>
        <v>153141507.9</v>
      </c>
      <c r="N39" s="147">
        <f t="shared" si="66"/>
        <v>167405616.8</v>
      </c>
      <c r="O39" s="147">
        <f t="shared" si="66"/>
        <v>181669725.8</v>
      </c>
      <c r="P39" s="147">
        <f t="shared" si="66"/>
        <v>195933834.7</v>
      </c>
      <c r="Q39" s="147">
        <f t="shared" si="66"/>
        <v>210197943.7</v>
      </c>
      <c r="R39" s="147">
        <f t="shared" si="66"/>
        <v>274354823.9</v>
      </c>
      <c r="S39" s="147">
        <f t="shared" si="66"/>
        <v>338511704</v>
      </c>
      <c r="T39" s="147">
        <f t="shared" si="66"/>
        <v>395186585.9</v>
      </c>
      <c r="U39" s="147">
        <f t="shared" si="66"/>
        <v>452162249</v>
      </c>
      <c r="V39" s="147">
        <f t="shared" si="66"/>
        <v>509531358.7</v>
      </c>
      <c r="W39" s="147">
        <f t="shared" si="66"/>
        <v>566900468.3</v>
      </c>
      <c r="X39" s="147">
        <f t="shared" si="66"/>
        <v>624269578</v>
      </c>
      <c r="Y39" s="147">
        <f t="shared" si="66"/>
        <v>683601461.6</v>
      </c>
      <c r="Z39" s="147">
        <f t="shared" si="66"/>
        <v>742933345.2</v>
      </c>
      <c r="AA39" s="147">
        <f t="shared" si="66"/>
        <v>802265228.8</v>
      </c>
      <c r="AB39" s="147">
        <f t="shared" si="66"/>
        <v>861597112.4</v>
      </c>
      <c r="AC39" s="147">
        <f t="shared" si="66"/>
        <v>902988162.9</v>
      </c>
      <c r="AD39" s="147">
        <f t="shared" si="66"/>
        <v>930171979.3</v>
      </c>
      <c r="AE39" s="94"/>
      <c r="AF39" s="147">
        <f>AD39+sum(AF30:AF37)</f>
        <v>949516356.8</v>
      </c>
      <c r="AG39" s="147">
        <f>AF39+sum(AG30:AG37)</f>
        <v>968860734.4</v>
      </c>
      <c r="AH39" s="134"/>
      <c r="AI39" s="134"/>
      <c r="AJ39" s="134"/>
      <c r="AK39" s="134"/>
      <c r="AL39" s="134"/>
      <c r="AM39" s="134"/>
    </row>
    <row r="40">
      <c r="A40" s="88"/>
      <c r="B40" s="88"/>
      <c r="C40" s="88"/>
      <c r="D40" s="88"/>
      <c r="E40" s="88"/>
      <c r="F40" s="88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88"/>
      <c r="AI40" s="88"/>
      <c r="AJ40" s="88"/>
      <c r="AK40" s="88"/>
      <c r="AL40" s="88"/>
      <c r="AM40" s="88"/>
    </row>
    <row r="41">
      <c r="A41" s="88"/>
      <c r="B41" s="148" t="s">
        <v>297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</row>
    <row r="42">
      <c r="A42" s="122"/>
      <c r="B42" s="95" t="str">
        <f t="shared" ref="B42:C42" si="67">B8</f>
        <v>Architectural</v>
      </c>
      <c r="C42" s="122">
        <f t="shared" si="67"/>
        <v>1584000</v>
      </c>
      <c r="D42" s="122"/>
      <c r="E42" s="122">
        <f t="shared" ref="E42:E53" si="70">C42/$C$4*$E$4</f>
        <v>3437500</v>
      </c>
      <c r="F42" s="122">
        <f t="shared" ref="F42:AG42" si="68">F8</f>
        <v>2864583.333</v>
      </c>
      <c r="G42" s="112">
        <f t="shared" si="68"/>
        <v>10</v>
      </c>
      <c r="H42" s="88" t="str">
        <f t="shared" si="68"/>
        <v/>
      </c>
      <c r="I42" s="149" t="str">
        <f t="shared" si="68"/>
        <v/>
      </c>
      <c r="J42" s="150" t="str">
        <f t="shared" si="68"/>
        <v/>
      </c>
      <c r="K42" s="151" t="str">
        <f t="shared" si="68"/>
        <v/>
      </c>
      <c r="L42" s="149" t="str">
        <f t="shared" si="68"/>
        <v/>
      </c>
      <c r="M42" s="150" t="str">
        <f t="shared" si="68"/>
        <v/>
      </c>
      <c r="N42" s="150" t="str">
        <f t="shared" si="68"/>
        <v/>
      </c>
      <c r="O42" s="150" t="str">
        <f t="shared" si="68"/>
        <v/>
      </c>
      <c r="P42" s="150" t="str">
        <f t="shared" si="68"/>
        <v/>
      </c>
      <c r="Q42" s="151" t="str">
        <f t="shared" si="68"/>
        <v/>
      </c>
      <c r="R42" s="149" t="str">
        <f t="shared" si="68"/>
        <v/>
      </c>
      <c r="S42" s="150" t="str">
        <f t="shared" si="68"/>
        <v/>
      </c>
      <c r="T42" s="150" t="str">
        <f t="shared" si="68"/>
        <v/>
      </c>
      <c r="U42" s="152">
        <f t="shared" si="68"/>
        <v>286458.3333</v>
      </c>
      <c r="V42" s="152">
        <f t="shared" si="68"/>
        <v>286458.3333</v>
      </c>
      <c r="W42" s="152">
        <f t="shared" si="68"/>
        <v>286458.3333</v>
      </c>
      <c r="X42" s="152">
        <f t="shared" si="68"/>
        <v>286458.3333</v>
      </c>
      <c r="Y42" s="152">
        <f t="shared" si="68"/>
        <v>286458.3333</v>
      </c>
      <c r="Z42" s="152">
        <f t="shared" si="68"/>
        <v>286458.3333</v>
      </c>
      <c r="AA42" s="152">
        <f t="shared" si="68"/>
        <v>286458.3333</v>
      </c>
      <c r="AB42" s="152">
        <f t="shared" si="68"/>
        <v>286458.3333</v>
      </c>
      <c r="AC42" s="153">
        <f t="shared" si="68"/>
        <v>286458.3333</v>
      </c>
      <c r="AD42" s="154">
        <f t="shared" si="68"/>
        <v>213007.4786</v>
      </c>
      <c r="AE42" s="155" t="str">
        <f t="shared" si="68"/>
        <v/>
      </c>
      <c r="AF42" s="154">
        <f t="shared" si="68"/>
        <v>73450.8547</v>
      </c>
      <c r="AG42" s="154">
        <f t="shared" si="68"/>
        <v>73450.8547</v>
      </c>
      <c r="AH42" s="88"/>
      <c r="AI42" s="88"/>
      <c r="AJ42" s="88"/>
      <c r="AK42" s="88"/>
      <c r="AL42" s="134"/>
      <c r="AM42" s="134"/>
    </row>
    <row r="43">
      <c r="A43" s="122"/>
      <c r="B43" s="95" t="str">
        <f t="shared" ref="B43:C43" si="69">B9</f>
        <v>Civil and Structural</v>
      </c>
      <c r="C43" s="122">
        <f t="shared" si="69"/>
        <v>1606634</v>
      </c>
      <c r="D43" s="122"/>
      <c r="E43" s="122">
        <f t="shared" si="70"/>
        <v>3486618.924</v>
      </c>
      <c r="F43" s="122">
        <f t="shared" ref="F43:AG43" si="71">F9</f>
        <v>2905515.77</v>
      </c>
      <c r="G43" s="112">
        <f t="shared" si="71"/>
        <v>13</v>
      </c>
      <c r="H43" s="88" t="str">
        <f t="shared" si="71"/>
        <v/>
      </c>
      <c r="I43" s="156" t="str">
        <f t="shared" si="71"/>
        <v/>
      </c>
      <c r="J43" s="157" t="str">
        <f t="shared" si="71"/>
        <v/>
      </c>
      <c r="K43" s="158" t="str">
        <f t="shared" si="71"/>
        <v/>
      </c>
      <c r="L43" s="156" t="str">
        <f t="shared" si="71"/>
        <v/>
      </c>
      <c r="M43" s="157" t="str">
        <f t="shared" si="71"/>
        <v/>
      </c>
      <c r="N43" s="157" t="str">
        <f t="shared" si="71"/>
        <v/>
      </c>
      <c r="O43" s="157" t="str">
        <f t="shared" si="71"/>
        <v/>
      </c>
      <c r="P43" s="157" t="str">
        <f t="shared" si="71"/>
        <v/>
      </c>
      <c r="Q43" s="158" t="str">
        <f t="shared" si="71"/>
        <v/>
      </c>
      <c r="R43" s="159">
        <f t="shared" si="71"/>
        <v>223501.2131</v>
      </c>
      <c r="S43" s="160">
        <f t="shared" si="71"/>
        <v>223501.2131</v>
      </c>
      <c r="T43" s="160">
        <f t="shared" si="71"/>
        <v>223501.2131</v>
      </c>
      <c r="U43" s="160">
        <f t="shared" si="71"/>
        <v>223501.2131</v>
      </c>
      <c r="V43" s="160">
        <f t="shared" si="71"/>
        <v>223501.2131</v>
      </c>
      <c r="W43" s="160">
        <f t="shared" si="71"/>
        <v>223501.2131</v>
      </c>
      <c r="X43" s="160">
        <f t="shared" si="71"/>
        <v>223501.2131</v>
      </c>
      <c r="Y43" s="160">
        <f t="shared" si="71"/>
        <v>223501.2131</v>
      </c>
      <c r="Z43" s="160">
        <f t="shared" si="71"/>
        <v>223501.2131</v>
      </c>
      <c r="AA43" s="160">
        <f t="shared" si="71"/>
        <v>223501.2131</v>
      </c>
      <c r="AB43" s="160">
        <f t="shared" si="71"/>
        <v>223501.2131</v>
      </c>
      <c r="AC43" s="161">
        <f t="shared" si="71"/>
        <v>223501.2131</v>
      </c>
      <c r="AD43" s="162">
        <f t="shared" si="71"/>
        <v>149000.8087</v>
      </c>
      <c r="AE43" s="163" t="str">
        <f t="shared" si="71"/>
        <v/>
      </c>
      <c r="AF43" s="162">
        <f t="shared" si="71"/>
        <v>74500.40435</v>
      </c>
      <c r="AG43" s="162">
        <f t="shared" si="71"/>
        <v>74500.40435</v>
      </c>
      <c r="AH43" s="88"/>
      <c r="AI43" s="88"/>
      <c r="AJ43" s="88"/>
      <c r="AK43" s="88"/>
      <c r="AL43" s="134"/>
      <c r="AM43" s="134"/>
    </row>
    <row r="44">
      <c r="A44" s="122"/>
      <c r="B44" s="95" t="str">
        <f t="shared" ref="B44:C44" si="72">B10</f>
        <v>Substations</v>
      </c>
      <c r="C44" s="122">
        <f t="shared" si="72"/>
        <v>21917808.22</v>
      </c>
      <c r="D44" s="122"/>
      <c r="E44" s="122">
        <f t="shared" si="70"/>
        <v>47564687.98</v>
      </c>
      <c r="F44" s="122">
        <f t="shared" ref="F44:AG44" si="73">F10</f>
        <v>39637239.98</v>
      </c>
      <c r="G44" s="112">
        <f t="shared" si="73"/>
        <v>13</v>
      </c>
      <c r="H44" s="88" t="str">
        <f t="shared" si="73"/>
        <v/>
      </c>
      <c r="I44" s="156" t="str">
        <f t="shared" si="73"/>
        <v/>
      </c>
      <c r="J44" s="157" t="str">
        <f t="shared" si="73"/>
        <v/>
      </c>
      <c r="K44" s="158" t="str">
        <f t="shared" si="73"/>
        <v/>
      </c>
      <c r="L44" s="156" t="str">
        <f t="shared" si="73"/>
        <v/>
      </c>
      <c r="M44" s="157" t="str">
        <f t="shared" si="73"/>
        <v/>
      </c>
      <c r="N44" s="157" t="str">
        <f t="shared" si="73"/>
        <v/>
      </c>
      <c r="O44" s="157" t="str">
        <f t="shared" si="73"/>
        <v/>
      </c>
      <c r="P44" s="157" t="str">
        <f t="shared" si="73"/>
        <v/>
      </c>
      <c r="Q44" s="158" t="str">
        <f t="shared" si="73"/>
        <v/>
      </c>
      <c r="R44" s="159">
        <f t="shared" si="73"/>
        <v>3049018.46</v>
      </c>
      <c r="S44" s="160">
        <f t="shared" si="73"/>
        <v>3049018.46</v>
      </c>
      <c r="T44" s="160">
        <f t="shared" si="73"/>
        <v>3049018.46</v>
      </c>
      <c r="U44" s="160">
        <f t="shared" si="73"/>
        <v>3049018.46</v>
      </c>
      <c r="V44" s="160">
        <f t="shared" si="73"/>
        <v>3049018.46</v>
      </c>
      <c r="W44" s="160">
        <f t="shared" si="73"/>
        <v>3049018.46</v>
      </c>
      <c r="X44" s="160">
        <f t="shared" si="73"/>
        <v>3049018.46</v>
      </c>
      <c r="Y44" s="160">
        <f t="shared" si="73"/>
        <v>3049018.46</v>
      </c>
      <c r="Z44" s="160">
        <f t="shared" si="73"/>
        <v>3049018.46</v>
      </c>
      <c r="AA44" s="160">
        <f t="shared" si="73"/>
        <v>3049018.46</v>
      </c>
      <c r="AB44" s="160">
        <f t="shared" si="73"/>
        <v>3049018.46</v>
      </c>
      <c r="AC44" s="161">
        <f t="shared" si="73"/>
        <v>3049018.46</v>
      </c>
      <c r="AD44" s="162">
        <f t="shared" si="73"/>
        <v>2032678.973</v>
      </c>
      <c r="AE44" s="163" t="str">
        <f t="shared" si="73"/>
        <v/>
      </c>
      <c r="AF44" s="162">
        <f t="shared" si="73"/>
        <v>1016339.487</v>
      </c>
      <c r="AG44" s="162">
        <f t="shared" si="73"/>
        <v>1016339.487</v>
      </c>
      <c r="AH44" s="88"/>
      <c r="AI44" s="88"/>
      <c r="AJ44" s="88"/>
      <c r="AK44" s="88"/>
      <c r="AL44" s="134"/>
      <c r="AM44" s="134"/>
    </row>
    <row r="45">
      <c r="A45" s="122"/>
      <c r="B45" s="95" t="str">
        <f t="shared" ref="B45:C45" si="74">B11</f>
        <v>Underground utilities</v>
      </c>
      <c r="C45" s="122">
        <f t="shared" si="74"/>
        <v>750000</v>
      </c>
      <c r="D45" s="122"/>
      <c r="E45" s="122">
        <f t="shared" si="70"/>
        <v>1627604.167</v>
      </c>
      <c r="F45" s="122">
        <f t="shared" ref="F45:AG45" si="75">F11</f>
        <v>1361114.672</v>
      </c>
      <c r="G45" s="112">
        <f t="shared" si="75"/>
        <v>8</v>
      </c>
      <c r="H45" s="88" t="str">
        <f t="shared" si="75"/>
        <v/>
      </c>
      <c r="I45" s="159">
        <f t="shared" si="75"/>
        <v>10000</v>
      </c>
      <c r="J45" s="160">
        <f t="shared" si="75"/>
        <v>10000</v>
      </c>
      <c r="K45" s="161">
        <f t="shared" si="75"/>
        <v>10000</v>
      </c>
      <c r="L45" s="159">
        <f t="shared" si="75"/>
        <v>170139.334</v>
      </c>
      <c r="M45" s="160">
        <f t="shared" si="75"/>
        <v>170139.334</v>
      </c>
      <c r="N45" s="160">
        <f t="shared" si="75"/>
        <v>170139.334</v>
      </c>
      <c r="O45" s="160">
        <f t="shared" si="75"/>
        <v>170139.334</v>
      </c>
      <c r="P45" s="160">
        <f t="shared" si="75"/>
        <v>170139.334</v>
      </c>
      <c r="Q45" s="161">
        <f t="shared" si="75"/>
        <v>170139.334</v>
      </c>
      <c r="R45" s="159">
        <f t="shared" si="75"/>
        <v>170139.334</v>
      </c>
      <c r="S45" s="160">
        <f t="shared" si="75"/>
        <v>170139.334</v>
      </c>
      <c r="T45" s="157" t="str">
        <f t="shared" si="75"/>
        <v/>
      </c>
      <c r="U45" s="157" t="str">
        <f t="shared" si="75"/>
        <v/>
      </c>
      <c r="V45" s="157" t="str">
        <f t="shared" si="75"/>
        <v/>
      </c>
      <c r="W45" s="157" t="str">
        <f t="shared" si="75"/>
        <v/>
      </c>
      <c r="X45" s="157" t="str">
        <f t="shared" si="75"/>
        <v/>
      </c>
      <c r="Y45" s="157" t="str">
        <f t="shared" si="75"/>
        <v/>
      </c>
      <c r="Z45" s="157" t="str">
        <f t="shared" si="75"/>
        <v/>
      </c>
      <c r="AA45" s="157" t="str">
        <f t="shared" si="75"/>
        <v/>
      </c>
      <c r="AB45" s="157" t="str">
        <f t="shared" si="75"/>
        <v/>
      </c>
      <c r="AC45" s="158" t="str">
        <f t="shared" si="75"/>
        <v/>
      </c>
      <c r="AD45" s="164" t="str">
        <f t="shared" si="75"/>
        <v/>
      </c>
      <c r="AE45" s="163" t="str">
        <f t="shared" si="75"/>
        <v/>
      </c>
      <c r="AF45" s="164" t="str">
        <f t="shared" si="75"/>
        <v/>
      </c>
      <c r="AG45" s="164" t="str">
        <f t="shared" si="75"/>
        <v/>
      </c>
      <c r="AH45" s="88"/>
      <c r="AI45" s="88"/>
      <c r="AJ45" s="88"/>
      <c r="AK45" s="88"/>
      <c r="AL45" s="134"/>
      <c r="AM45" s="134"/>
    </row>
    <row r="46">
      <c r="A46" s="122"/>
      <c r="B46" s="95" t="str">
        <f t="shared" ref="B46:B73" si="77">B12</f>
        <v>Crusader Modules (Incl surveys and design)</v>
      </c>
      <c r="C46" s="165">
        <f>C12/8*4</f>
        <v>76800000</v>
      </c>
      <c r="D46" s="122"/>
      <c r="E46" s="122">
        <f t="shared" si="70"/>
        <v>166666666.7</v>
      </c>
      <c r="F46" s="122">
        <f t="shared" ref="F46:AG46" si="76">F12</f>
        <v>277477777.8</v>
      </c>
      <c r="G46" s="112">
        <f t="shared" si="76"/>
        <v>13</v>
      </c>
      <c r="H46" s="88" t="str">
        <f t="shared" si="76"/>
        <v/>
      </c>
      <c r="I46" s="159">
        <f t="shared" si="76"/>
        <v>100000</v>
      </c>
      <c r="J46" s="160">
        <f t="shared" si="76"/>
        <v>100000</v>
      </c>
      <c r="K46" s="161">
        <f t="shared" si="76"/>
        <v>100000</v>
      </c>
      <c r="L46" s="159">
        <f t="shared" si="76"/>
        <v>984615.3846</v>
      </c>
      <c r="M46" s="160">
        <f t="shared" si="76"/>
        <v>984615.3846</v>
      </c>
      <c r="N46" s="160">
        <f t="shared" si="76"/>
        <v>984615.3846</v>
      </c>
      <c r="O46" s="160">
        <f t="shared" si="76"/>
        <v>984615.3846</v>
      </c>
      <c r="P46" s="160">
        <f t="shared" si="76"/>
        <v>984615.3846</v>
      </c>
      <c r="Q46" s="161">
        <f t="shared" si="76"/>
        <v>984615.3846</v>
      </c>
      <c r="R46" s="159">
        <f t="shared" si="76"/>
        <v>22098187</v>
      </c>
      <c r="S46" s="160">
        <f t="shared" si="76"/>
        <v>22098187</v>
      </c>
      <c r="T46" s="160">
        <f t="shared" si="76"/>
        <v>22098187</v>
      </c>
      <c r="U46" s="160">
        <f t="shared" si="76"/>
        <v>22098187</v>
      </c>
      <c r="V46" s="160">
        <f t="shared" si="76"/>
        <v>22098187</v>
      </c>
      <c r="W46" s="160">
        <f t="shared" si="76"/>
        <v>22098187</v>
      </c>
      <c r="X46" s="160">
        <f t="shared" si="76"/>
        <v>22098187</v>
      </c>
      <c r="Y46" s="160">
        <f t="shared" si="76"/>
        <v>22098187</v>
      </c>
      <c r="Z46" s="160">
        <f t="shared" si="76"/>
        <v>22098187</v>
      </c>
      <c r="AA46" s="160">
        <f t="shared" si="76"/>
        <v>22098187</v>
      </c>
      <c r="AB46" s="160">
        <f t="shared" si="76"/>
        <v>22098187</v>
      </c>
      <c r="AC46" s="161">
        <f t="shared" si="76"/>
        <v>14245014.25</v>
      </c>
      <c r="AD46" s="162">
        <f t="shared" si="76"/>
        <v>7122507.123</v>
      </c>
      <c r="AE46" s="163" t="str">
        <f t="shared" si="76"/>
        <v/>
      </c>
      <c r="AF46" s="162">
        <f t="shared" si="76"/>
        <v>7122507.123</v>
      </c>
      <c r="AG46" s="162">
        <f t="shared" si="76"/>
        <v>7122507.123</v>
      </c>
      <c r="AH46" s="88"/>
      <c r="AI46" s="88"/>
      <c r="AJ46" s="88"/>
      <c r="AK46" s="88"/>
      <c r="AL46" s="134"/>
      <c r="AM46" s="134"/>
    </row>
    <row r="47">
      <c r="A47" s="122"/>
      <c r="B47" s="95" t="str">
        <f t="shared" si="77"/>
        <v>Bess (Incl surveys and design)</v>
      </c>
      <c r="C47" s="122">
        <f>C13</f>
        <v>88704000</v>
      </c>
      <c r="D47" s="122"/>
      <c r="E47" s="122">
        <f t="shared" si="70"/>
        <v>192500000</v>
      </c>
      <c r="F47" s="122">
        <f t="shared" ref="F47:AG47" si="78">F13</f>
        <v>160266666.7</v>
      </c>
      <c r="G47" s="112">
        <f t="shared" si="78"/>
        <v>13</v>
      </c>
      <c r="H47" s="88" t="str">
        <f t="shared" si="78"/>
        <v/>
      </c>
      <c r="I47" s="159">
        <f t="shared" si="78"/>
        <v>50000</v>
      </c>
      <c r="J47" s="160">
        <f t="shared" si="78"/>
        <v>50000</v>
      </c>
      <c r="K47" s="161">
        <f t="shared" si="78"/>
        <v>50000</v>
      </c>
      <c r="L47" s="159">
        <f t="shared" si="78"/>
        <v>568615.3846</v>
      </c>
      <c r="M47" s="160">
        <f t="shared" si="78"/>
        <v>568615.3846</v>
      </c>
      <c r="N47" s="160">
        <f t="shared" si="78"/>
        <v>568615.3846</v>
      </c>
      <c r="O47" s="160">
        <f t="shared" si="78"/>
        <v>568615.3846</v>
      </c>
      <c r="P47" s="160">
        <f t="shared" si="78"/>
        <v>568615.3846</v>
      </c>
      <c r="Q47" s="161">
        <f t="shared" si="78"/>
        <v>568615.3846</v>
      </c>
      <c r="R47" s="159">
        <f t="shared" si="78"/>
        <v>12763816.63</v>
      </c>
      <c r="S47" s="160">
        <f t="shared" si="78"/>
        <v>12763816.63</v>
      </c>
      <c r="T47" s="160">
        <f t="shared" si="78"/>
        <v>12763816.63</v>
      </c>
      <c r="U47" s="160">
        <f t="shared" si="78"/>
        <v>12763816.63</v>
      </c>
      <c r="V47" s="160">
        <f t="shared" si="78"/>
        <v>12763816.63</v>
      </c>
      <c r="W47" s="160">
        <f t="shared" si="78"/>
        <v>12763816.63</v>
      </c>
      <c r="X47" s="160">
        <f t="shared" si="78"/>
        <v>12763816.63</v>
      </c>
      <c r="Y47" s="160">
        <f t="shared" si="78"/>
        <v>12763816.63</v>
      </c>
      <c r="Z47" s="160">
        <f t="shared" si="78"/>
        <v>12763816.63</v>
      </c>
      <c r="AA47" s="160">
        <f t="shared" si="78"/>
        <v>12763816.63</v>
      </c>
      <c r="AB47" s="160">
        <f t="shared" si="78"/>
        <v>12763816.63</v>
      </c>
      <c r="AC47" s="161">
        <f t="shared" si="78"/>
        <v>8226495.726</v>
      </c>
      <c r="AD47" s="162">
        <f t="shared" si="78"/>
        <v>4113247.863</v>
      </c>
      <c r="AE47" s="163" t="str">
        <f t="shared" si="78"/>
        <v/>
      </c>
      <c r="AF47" s="162">
        <f t="shared" si="78"/>
        <v>4113247.863</v>
      </c>
      <c r="AG47" s="162">
        <f t="shared" si="78"/>
        <v>4113247.863</v>
      </c>
      <c r="AH47" s="88"/>
      <c r="AI47" s="88"/>
      <c r="AJ47" s="88"/>
      <c r="AK47" s="88"/>
      <c r="AL47" s="134"/>
      <c r="AM47" s="134"/>
    </row>
    <row r="48">
      <c r="A48" s="122"/>
      <c r="B48" s="95" t="str">
        <f t="shared" si="77"/>
        <v>Main Contractor installation</v>
      </c>
      <c r="C48" s="122">
        <f>C14*0.75</f>
        <v>7788380.25</v>
      </c>
      <c r="D48" s="122"/>
      <c r="E48" s="122">
        <f t="shared" si="70"/>
        <v>16901866.86</v>
      </c>
      <c r="F48" s="122">
        <f t="shared" ref="F48:AG48" si="79">F14</f>
        <v>18779852.07</v>
      </c>
      <c r="G48" s="112">
        <f t="shared" si="79"/>
        <v>13</v>
      </c>
      <c r="H48" s="88" t="str">
        <f t="shared" si="79"/>
        <v/>
      </c>
      <c r="I48" s="156" t="str">
        <f t="shared" si="79"/>
        <v/>
      </c>
      <c r="J48" s="157" t="str">
        <f t="shared" si="79"/>
        <v/>
      </c>
      <c r="K48" s="158" t="str">
        <f t="shared" si="79"/>
        <v/>
      </c>
      <c r="L48" s="156" t="str">
        <f t="shared" si="79"/>
        <v/>
      </c>
      <c r="M48" s="157" t="str">
        <f t="shared" si="79"/>
        <v/>
      </c>
      <c r="N48" s="157" t="str">
        <f t="shared" si="79"/>
        <v/>
      </c>
      <c r="O48" s="157" t="str">
        <f t="shared" si="79"/>
        <v/>
      </c>
      <c r="P48" s="157" t="str">
        <f t="shared" si="79"/>
        <v/>
      </c>
      <c r="Q48" s="158" t="str">
        <f t="shared" si="79"/>
        <v/>
      </c>
      <c r="R48" s="159">
        <f t="shared" si="79"/>
        <v>1532155.763</v>
      </c>
      <c r="S48" s="160">
        <f t="shared" si="79"/>
        <v>1532155.763</v>
      </c>
      <c r="T48" s="160">
        <f t="shared" si="79"/>
        <v>1532155.763</v>
      </c>
      <c r="U48" s="160">
        <f t="shared" si="79"/>
        <v>1532155.763</v>
      </c>
      <c r="V48" s="160">
        <f t="shared" si="79"/>
        <v>1532155.763</v>
      </c>
      <c r="W48" s="160">
        <f t="shared" si="79"/>
        <v>1532155.763</v>
      </c>
      <c r="X48" s="160">
        <f t="shared" si="79"/>
        <v>1532155.763</v>
      </c>
      <c r="Y48" s="160">
        <f t="shared" si="79"/>
        <v>1532155.763</v>
      </c>
      <c r="Z48" s="160">
        <f t="shared" si="79"/>
        <v>1532155.763</v>
      </c>
      <c r="AA48" s="160">
        <f t="shared" si="79"/>
        <v>1532155.763</v>
      </c>
      <c r="AB48" s="160">
        <f t="shared" si="79"/>
        <v>1532155.763</v>
      </c>
      <c r="AC48" s="161">
        <f t="shared" si="79"/>
        <v>963069.3369</v>
      </c>
      <c r="AD48" s="162">
        <f t="shared" si="79"/>
        <v>481534.6684</v>
      </c>
      <c r="AE48" s="163" t="str">
        <f t="shared" si="79"/>
        <v/>
      </c>
      <c r="AF48" s="162">
        <f t="shared" si="79"/>
        <v>481534.6684</v>
      </c>
      <c r="AG48" s="162">
        <f t="shared" si="79"/>
        <v>481534.6684</v>
      </c>
      <c r="AH48" s="88"/>
      <c r="AI48" s="88"/>
      <c r="AJ48" s="88"/>
      <c r="AK48" s="88"/>
      <c r="AL48" s="134"/>
      <c r="AM48" s="134"/>
    </row>
    <row r="49">
      <c r="A49" s="122"/>
      <c r="B49" s="95" t="str">
        <f t="shared" si="77"/>
        <v>Photo Voltaic system</v>
      </c>
      <c r="C49" s="122">
        <f t="shared" ref="C49:C50" si="81">C15</f>
        <v>1883333.333</v>
      </c>
      <c r="D49" s="122"/>
      <c r="E49" s="122">
        <f t="shared" si="70"/>
        <v>4087094.907</v>
      </c>
      <c r="F49" s="122">
        <f t="shared" ref="F49:AG49" si="80">F15</f>
        <v>3405912.422</v>
      </c>
      <c r="G49" s="112">
        <f t="shared" si="80"/>
        <v>6</v>
      </c>
      <c r="H49" s="88" t="str">
        <f t="shared" si="80"/>
        <v/>
      </c>
      <c r="I49" s="156" t="str">
        <f t="shared" si="80"/>
        <v/>
      </c>
      <c r="J49" s="157" t="str">
        <f t="shared" si="80"/>
        <v/>
      </c>
      <c r="K49" s="158" t="str">
        <f t="shared" si="80"/>
        <v/>
      </c>
      <c r="L49" s="156" t="str">
        <f t="shared" si="80"/>
        <v/>
      </c>
      <c r="M49" s="157" t="str">
        <f t="shared" si="80"/>
        <v/>
      </c>
      <c r="N49" s="157" t="str">
        <f t="shared" si="80"/>
        <v/>
      </c>
      <c r="O49" s="157" t="str">
        <f t="shared" si="80"/>
        <v/>
      </c>
      <c r="P49" s="157" t="str">
        <f t="shared" si="80"/>
        <v/>
      </c>
      <c r="Q49" s="158" t="str">
        <f t="shared" si="80"/>
        <v/>
      </c>
      <c r="R49" s="156" t="str">
        <f t="shared" si="80"/>
        <v/>
      </c>
      <c r="S49" s="157" t="str">
        <f t="shared" si="80"/>
        <v/>
      </c>
      <c r="T49" s="157" t="str">
        <f t="shared" si="80"/>
        <v/>
      </c>
      <c r="U49" s="157" t="str">
        <f t="shared" si="80"/>
        <v/>
      </c>
      <c r="V49" s="157" t="str">
        <f t="shared" si="80"/>
        <v/>
      </c>
      <c r="W49" s="157" t="str">
        <f t="shared" si="80"/>
        <v/>
      </c>
      <c r="X49" s="157" t="str">
        <f t="shared" si="80"/>
        <v/>
      </c>
      <c r="Y49" s="160">
        <f t="shared" si="80"/>
        <v>764147.0178</v>
      </c>
      <c r="Z49" s="160">
        <f t="shared" si="80"/>
        <v>764147.0178</v>
      </c>
      <c r="AA49" s="160">
        <f t="shared" si="80"/>
        <v>764147.0178</v>
      </c>
      <c r="AB49" s="160">
        <f t="shared" si="80"/>
        <v>764147.0178</v>
      </c>
      <c r="AC49" s="161">
        <f t="shared" si="80"/>
        <v>174662.1755</v>
      </c>
      <c r="AD49" s="162">
        <f t="shared" si="80"/>
        <v>87331.08775</v>
      </c>
      <c r="AE49" s="163" t="str">
        <f t="shared" si="80"/>
        <v/>
      </c>
      <c r="AF49" s="162">
        <f t="shared" si="80"/>
        <v>87331.08775</v>
      </c>
      <c r="AG49" s="162">
        <f t="shared" si="80"/>
        <v>87331.08775</v>
      </c>
      <c r="AH49" s="88"/>
      <c r="AI49" s="88"/>
      <c r="AJ49" s="88"/>
      <c r="AK49" s="88"/>
      <c r="AL49" s="134"/>
      <c r="AM49" s="134"/>
    </row>
    <row r="50">
      <c r="A50" s="122"/>
      <c r="B50" s="95" t="str">
        <f t="shared" si="77"/>
        <v>Landscaping</v>
      </c>
      <c r="C50" s="122">
        <f t="shared" si="81"/>
        <v>1718500</v>
      </c>
      <c r="D50" s="122"/>
      <c r="E50" s="122">
        <f t="shared" si="70"/>
        <v>3729383.681</v>
      </c>
      <c r="F50" s="122">
        <f t="shared" ref="F50:AG50" si="82">F16</f>
        <v>3107819.734</v>
      </c>
      <c r="G50" s="112">
        <f t="shared" si="82"/>
        <v>6</v>
      </c>
      <c r="H50" s="88" t="str">
        <f t="shared" si="82"/>
        <v/>
      </c>
      <c r="I50" s="156" t="str">
        <f t="shared" si="82"/>
        <v/>
      </c>
      <c r="J50" s="157" t="str">
        <f t="shared" si="82"/>
        <v/>
      </c>
      <c r="K50" s="158" t="str">
        <f t="shared" si="82"/>
        <v/>
      </c>
      <c r="L50" s="156" t="str">
        <f t="shared" si="82"/>
        <v/>
      </c>
      <c r="M50" s="157" t="str">
        <f t="shared" si="82"/>
        <v/>
      </c>
      <c r="N50" s="157" t="str">
        <f t="shared" si="82"/>
        <v/>
      </c>
      <c r="O50" s="157" t="str">
        <f t="shared" si="82"/>
        <v/>
      </c>
      <c r="P50" s="157" t="str">
        <f t="shared" si="82"/>
        <v/>
      </c>
      <c r="Q50" s="158" t="str">
        <f t="shared" si="82"/>
        <v/>
      </c>
      <c r="R50" s="156" t="str">
        <f t="shared" si="82"/>
        <v/>
      </c>
      <c r="S50" s="157" t="str">
        <f t="shared" si="82"/>
        <v/>
      </c>
      <c r="T50" s="157" t="str">
        <f t="shared" si="82"/>
        <v/>
      </c>
      <c r="U50" s="157" t="str">
        <f t="shared" si="82"/>
        <v/>
      </c>
      <c r="V50" s="157" t="str">
        <f t="shared" si="82"/>
        <v/>
      </c>
      <c r="W50" s="157" t="str">
        <f t="shared" si="82"/>
        <v/>
      </c>
      <c r="X50" s="157" t="str">
        <f t="shared" si="82"/>
        <v/>
      </c>
      <c r="Y50" s="160">
        <f t="shared" si="82"/>
        <v>504688.6747</v>
      </c>
      <c r="Z50" s="160">
        <f t="shared" si="82"/>
        <v>504688.6747</v>
      </c>
      <c r="AA50" s="160">
        <f t="shared" si="82"/>
        <v>504688.6747</v>
      </c>
      <c r="AB50" s="160">
        <f t="shared" si="82"/>
        <v>504688.6747</v>
      </c>
      <c r="AC50" s="161">
        <f t="shared" si="82"/>
        <v>504688.6747</v>
      </c>
      <c r="AD50" s="162">
        <f t="shared" si="82"/>
        <v>504688.6747</v>
      </c>
      <c r="AE50" s="163" t="str">
        <f t="shared" si="82"/>
        <v/>
      </c>
      <c r="AF50" s="162">
        <f t="shared" si="82"/>
        <v>79687.68548</v>
      </c>
      <c r="AG50" s="162">
        <f t="shared" si="82"/>
        <v>79687.68548</v>
      </c>
      <c r="AH50" s="88"/>
      <c r="AI50" s="88"/>
      <c r="AJ50" s="88"/>
      <c r="AK50" s="88"/>
      <c r="AL50" s="134"/>
      <c r="AM50" s="134"/>
    </row>
    <row r="51">
      <c r="A51" s="122"/>
      <c r="B51" s="95" t="str">
        <f t="shared" si="77"/>
        <v>Preliminaries - General</v>
      </c>
      <c r="C51" s="165">
        <f t="shared" ref="C51:C52" si="84">C17*0.75</f>
        <v>34171714.73</v>
      </c>
      <c r="D51" s="122"/>
      <c r="E51" s="122">
        <f t="shared" si="70"/>
        <v>74157367.02</v>
      </c>
      <c r="F51" s="122">
        <f t="shared" ref="F51:AG51" si="83">F17</f>
        <v>82397074.47</v>
      </c>
      <c r="G51" s="112">
        <f t="shared" si="83"/>
        <v>13</v>
      </c>
      <c r="H51" s="88" t="str">
        <f t="shared" si="83"/>
        <v/>
      </c>
      <c r="I51" s="156" t="str">
        <f t="shared" si="83"/>
        <v/>
      </c>
      <c r="J51" s="157" t="str">
        <f t="shared" si="83"/>
        <v/>
      </c>
      <c r="K51" s="158" t="str">
        <f t="shared" si="83"/>
        <v/>
      </c>
      <c r="L51" s="159">
        <f t="shared" si="83"/>
        <v>292065.9378</v>
      </c>
      <c r="M51" s="160">
        <f t="shared" si="83"/>
        <v>292065.9378</v>
      </c>
      <c r="N51" s="160">
        <f t="shared" si="83"/>
        <v>292065.9378</v>
      </c>
      <c r="O51" s="160">
        <f t="shared" si="83"/>
        <v>292065.9378</v>
      </c>
      <c r="P51" s="160">
        <f t="shared" si="83"/>
        <v>292065.9378</v>
      </c>
      <c r="Q51" s="161">
        <f t="shared" si="83"/>
        <v>292065.9378</v>
      </c>
      <c r="R51" s="159">
        <f t="shared" si="83"/>
        <v>6016408.92</v>
      </c>
      <c r="S51" s="160">
        <f t="shared" si="83"/>
        <v>6016408.92</v>
      </c>
      <c r="T51" s="160">
        <f t="shared" si="83"/>
        <v>6016408.92</v>
      </c>
      <c r="U51" s="160">
        <f t="shared" si="83"/>
        <v>6016408.92</v>
      </c>
      <c r="V51" s="160">
        <f t="shared" si="83"/>
        <v>6016408.92</v>
      </c>
      <c r="W51" s="160">
        <f t="shared" si="83"/>
        <v>6016408.92</v>
      </c>
      <c r="X51" s="160">
        <f t="shared" si="83"/>
        <v>6016408.92</v>
      </c>
      <c r="Y51" s="160">
        <f t="shared" si="83"/>
        <v>6016408.92</v>
      </c>
      <c r="Z51" s="160">
        <f t="shared" si="83"/>
        <v>6016408.92</v>
      </c>
      <c r="AA51" s="160">
        <f t="shared" si="83"/>
        <v>6016408.92</v>
      </c>
      <c r="AB51" s="160">
        <f t="shared" si="83"/>
        <v>6016408.92</v>
      </c>
      <c r="AC51" s="161">
        <f t="shared" si="83"/>
        <v>6175717.613</v>
      </c>
      <c r="AD51" s="162">
        <f t="shared" si="83"/>
        <v>6175717.613</v>
      </c>
      <c r="AE51" s="163" t="str">
        <f t="shared" si="83"/>
        <v/>
      </c>
      <c r="AF51" s="162">
        <f t="shared" si="83"/>
        <v>2112745.499</v>
      </c>
      <c r="AG51" s="162">
        <f t="shared" si="83"/>
        <v>2112745.499</v>
      </c>
      <c r="AH51" s="88"/>
      <c r="AI51" s="88"/>
      <c r="AJ51" s="88"/>
      <c r="AK51" s="88"/>
      <c r="AL51" s="134"/>
      <c r="AM51" s="134"/>
    </row>
    <row r="52">
      <c r="A52" s="122"/>
      <c r="B52" s="95" t="str">
        <f t="shared" si="77"/>
        <v>Main Contractor Margin</v>
      </c>
      <c r="C52" s="165">
        <f t="shared" si="84"/>
        <v>9086400</v>
      </c>
      <c r="D52" s="122"/>
      <c r="E52" s="122">
        <f t="shared" si="70"/>
        <v>19718750</v>
      </c>
      <c r="F52" s="122">
        <f t="shared" ref="F52:AG52" si="85">F18</f>
        <v>21909722.22</v>
      </c>
      <c r="G52" s="112">
        <f t="shared" si="85"/>
        <v>13</v>
      </c>
      <c r="H52" s="88" t="str">
        <f t="shared" si="85"/>
        <v/>
      </c>
      <c r="I52" s="156" t="str">
        <f t="shared" si="85"/>
        <v/>
      </c>
      <c r="J52" s="157" t="str">
        <f t="shared" si="85"/>
        <v/>
      </c>
      <c r="K52" s="158" t="str">
        <f t="shared" si="85"/>
        <v/>
      </c>
      <c r="L52" s="159">
        <f t="shared" si="85"/>
        <v>77661.53846</v>
      </c>
      <c r="M52" s="160">
        <f t="shared" si="85"/>
        <v>77661.53846</v>
      </c>
      <c r="N52" s="160">
        <f t="shared" si="85"/>
        <v>77661.53846</v>
      </c>
      <c r="O52" s="160">
        <f t="shared" si="85"/>
        <v>77661.53846</v>
      </c>
      <c r="P52" s="160">
        <f t="shared" si="85"/>
        <v>77661.53846</v>
      </c>
      <c r="Q52" s="161">
        <f t="shared" si="85"/>
        <v>77661.53846</v>
      </c>
      <c r="R52" s="159">
        <f t="shared" si="85"/>
        <v>1745145.636</v>
      </c>
      <c r="S52" s="160">
        <f t="shared" si="85"/>
        <v>1745145.636</v>
      </c>
      <c r="T52" s="160">
        <f t="shared" si="85"/>
        <v>1745145.636</v>
      </c>
      <c r="U52" s="160">
        <f t="shared" si="85"/>
        <v>1745145.636</v>
      </c>
      <c r="V52" s="160">
        <f t="shared" si="85"/>
        <v>1745145.636</v>
      </c>
      <c r="W52" s="160">
        <f t="shared" si="85"/>
        <v>1745145.636</v>
      </c>
      <c r="X52" s="160">
        <f t="shared" si="85"/>
        <v>1745145.636</v>
      </c>
      <c r="Y52" s="160">
        <f t="shared" si="85"/>
        <v>1745145.636</v>
      </c>
      <c r="Z52" s="160">
        <f t="shared" si="85"/>
        <v>1745145.636</v>
      </c>
      <c r="AA52" s="160">
        <f t="shared" si="85"/>
        <v>1745145.636</v>
      </c>
      <c r="AB52" s="160">
        <f t="shared" si="85"/>
        <v>1745145.636</v>
      </c>
      <c r="AC52" s="161">
        <f t="shared" si="85"/>
        <v>1123575.499</v>
      </c>
      <c r="AD52" s="162">
        <f t="shared" si="85"/>
        <v>561787.7493</v>
      </c>
      <c r="AE52" s="163" t="str">
        <f t="shared" si="85"/>
        <v/>
      </c>
      <c r="AF52" s="162">
        <f t="shared" si="85"/>
        <v>561787.7493</v>
      </c>
      <c r="AG52" s="162">
        <f t="shared" si="85"/>
        <v>561787.7493</v>
      </c>
      <c r="AH52" s="88"/>
      <c r="AI52" s="88"/>
      <c r="AJ52" s="88"/>
      <c r="AK52" s="88"/>
      <c r="AL52" s="134"/>
      <c r="AM52" s="134"/>
    </row>
    <row r="53">
      <c r="A53" s="122"/>
      <c r="B53" s="95" t="str">
        <f t="shared" si="77"/>
        <v>Connection</v>
      </c>
      <c r="C53" s="122">
        <f t="shared" ref="C53:C73" si="87">C19</f>
        <v>30000000</v>
      </c>
      <c r="D53" s="122"/>
      <c r="E53" s="122">
        <f t="shared" si="70"/>
        <v>65104166.67</v>
      </c>
      <c r="F53" s="122">
        <f t="shared" ref="F53:AG53" si="86">F19</f>
        <v>55644586.89</v>
      </c>
      <c r="G53" s="112">
        <f t="shared" si="86"/>
        <v>8</v>
      </c>
      <c r="H53" s="88" t="str">
        <f t="shared" si="86"/>
        <v/>
      </c>
      <c r="I53" s="156" t="str">
        <f t="shared" si="86"/>
        <v/>
      </c>
      <c r="J53" s="157" t="str">
        <f t="shared" si="86"/>
        <v/>
      </c>
      <c r="K53" s="158" t="str">
        <f t="shared" si="86"/>
        <v/>
      </c>
      <c r="L53" s="159">
        <f t="shared" si="86"/>
        <v>6955573.362</v>
      </c>
      <c r="M53" s="160">
        <f t="shared" si="86"/>
        <v>6955573.362</v>
      </c>
      <c r="N53" s="160">
        <f t="shared" si="86"/>
        <v>6955573.362</v>
      </c>
      <c r="O53" s="160">
        <f t="shared" si="86"/>
        <v>6955573.362</v>
      </c>
      <c r="P53" s="160">
        <f t="shared" si="86"/>
        <v>6955573.362</v>
      </c>
      <c r="Q53" s="161">
        <f t="shared" si="86"/>
        <v>6955573.362</v>
      </c>
      <c r="R53" s="159">
        <f t="shared" si="86"/>
        <v>6955573.362</v>
      </c>
      <c r="S53" s="160">
        <f t="shared" si="86"/>
        <v>6955573.362</v>
      </c>
      <c r="T53" s="157" t="str">
        <f t="shared" si="86"/>
        <v/>
      </c>
      <c r="U53" s="157" t="str">
        <f t="shared" si="86"/>
        <v/>
      </c>
      <c r="V53" s="157" t="str">
        <f t="shared" si="86"/>
        <v/>
      </c>
      <c r="W53" s="157" t="str">
        <f t="shared" si="86"/>
        <v/>
      </c>
      <c r="X53" s="157" t="str">
        <f t="shared" si="86"/>
        <v/>
      </c>
      <c r="Y53" s="157" t="str">
        <f t="shared" si="86"/>
        <v/>
      </c>
      <c r="Z53" s="157" t="str">
        <f t="shared" si="86"/>
        <v/>
      </c>
      <c r="AA53" s="157" t="str">
        <f t="shared" si="86"/>
        <v/>
      </c>
      <c r="AB53" s="157" t="str">
        <f t="shared" si="86"/>
        <v/>
      </c>
      <c r="AC53" s="158" t="str">
        <f t="shared" si="86"/>
        <v/>
      </c>
      <c r="AD53" s="164" t="str">
        <f t="shared" si="86"/>
        <v/>
      </c>
      <c r="AE53" s="163" t="str">
        <f t="shared" si="86"/>
        <v/>
      </c>
      <c r="AF53" s="164" t="str">
        <f t="shared" si="86"/>
        <v/>
      </c>
      <c r="AG53" s="164" t="str">
        <f t="shared" si="86"/>
        <v/>
      </c>
      <c r="AH53" s="88"/>
      <c r="AI53" s="88"/>
      <c r="AJ53" s="88"/>
      <c r="AK53" s="88"/>
      <c r="AL53" s="134"/>
      <c r="AM53" s="134"/>
    </row>
    <row r="54">
      <c r="A54" s="122"/>
      <c r="B54" s="95" t="str">
        <f t="shared" si="77"/>
        <v>Land</v>
      </c>
      <c r="C54" s="122" t="str">
        <f t="shared" si="87"/>
        <v/>
      </c>
      <c r="D54" s="95"/>
      <c r="E54" s="95"/>
      <c r="F54" s="95" t="str">
        <f t="shared" ref="F54:AG54" si="88">F20</f>
        <v/>
      </c>
      <c r="G54" s="112">
        <f t="shared" si="88"/>
        <v>4</v>
      </c>
      <c r="H54" s="88" t="str">
        <f t="shared" si="88"/>
        <v/>
      </c>
      <c r="I54" s="156" t="str">
        <f t="shared" si="88"/>
        <v/>
      </c>
      <c r="J54" s="157" t="str">
        <f t="shared" si="88"/>
        <v/>
      </c>
      <c r="K54" s="158" t="str">
        <f t="shared" si="88"/>
        <v/>
      </c>
      <c r="L54" s="156">
        <f t="shared" si="88"/>
        <v>12000000</v>
      </c>
      <c r="M54" s="157" t="str">
        <f t="shared" si="88"/>
        <v/>
      </c>
      <c r="N54" s="157" t="str">
        <f t="shared" si="88"/>
        <v/>
      </c>
      <c r="O54" s="157" t="str">
        <f t="shared" si="88"/>
        <v/>
      </c>
      <c r="P54" s="157" t="str">
        <f t="shared" si="88"/>
        <v/>
      </c>
      <c r="Q54" s="158" t="str">
        <f t="shared" si="88"/>
        <v/>
      </c>
      <c r="R54" s="156" t="str">
        <f t="shared" si="88"/>
        <v/>
      </c>
      <c r="S54" s="157" t="str">
        <f t="shared" si="88"/>
        <v/>
      </c>
      <c r="T54" s="157" t="str">
        <f t="shared" si="88"/>
        <v/>
      </c>
      <c r="U54" s="157" t="str">
        <f t="shared" si="88"/>
        <v/>
      </c>
      <c r="V54" s="157" t="str">
        <f t="shared" si="88"/>
        <v/>
      </c>
      <c r="W54" s="157" t="str">
        <f t="shared" si="88"/>
        <v/>
      </c>
      <c r="X54" s="157" t="str">
        <f t="shared" si="88"/>
        <v/>
      </c>
      <c r="Y54" s="157" t="str">
        <f t="shared" si="88"/>
        <v/>
      </c>
      <c r="Z54" s="157" t="str">
        <f t="shared" si="88"/>
        <v/>
      </c>
      <c r="AA54" s="157" t="str">
        <f t="shared" si="88"/>
        <v/>
      </c>
      <c r="AB54" s="157" t="str">
        <f t="shared" si="88"/>
        <v/>
      </c>
      <c r="AC54" s="158" t="str">
        <f t="shared" si="88"/>
        <v/>
      </c>
      <c r="AD54" s="164" t="str">
        <f t="shared" si="88"/>
        <v/>
      </c>
      <c r="AE54" s="163" t="str">
        <f t="shared" si="88"/>
        <v/>
      </c>
      <c r="AF54" s="164" t="str">
        <f t="shared" si="88"/>
        <v/>
      </c>
      <c r="AG54" s="164" t="str">
        <f t="shared" si="88"/>
        <v/>
      </c>
      <c r="AH54" s="88"/>
      <c r="AI54" s="88"/>
      <c r="AJ54" s="88"/>
      <c r="AK54" s="88"/>
      <c r="AL54" s="134"/>
      <c r="AM54" s="134"/>
    </row>
    <row r="55">
      <c r="A55" s="122"/>
      <c r="B55" s="95" t="str">
        <f t="shared" si="77"/>
        <v>Operations Team</v>
      </c>
      <c r="C55" s="122">
        <f t="shared" si="87"/>
        <v>1909090.909</v>
      </c>
      <c r="D55" s="122"/>
      <c r="E55" s="122">
        <f t="shared" ref="E55:E57" si="90">C55/$C$4*$E$4</f>
        <v>4142992.424</v>
      </c>
      <c r="F55" s="122">
        <f t="shared" ref="F55:AG55" si="89">F21</f>
        <v>3541019.166</v>
      </c>
      <c r="G55" s="112">
        <f t="shared" si="89"/>
        <v>9</v>
      </c>
      <c r="H55" s="88" t="str">
        <f t="shared" si="89"/>
        <v/>
      </c>
      <c r="I55" s="156" t="str">
        <f t="shared" si="89"/>
        <v/>
      </c>
      <c r="J55" s="157" t="str">
        <f t="shared" si="89"/>
        <v/>
      </c>
      <c r="K55" s="158" t="str">
        <f t="shared" si="89"/>
        <v/>
      </c>
      <c r="L55" s="156" t="str">
        <f t="shared" si="89"/>
        <v/>
      </c>
      <c r="M55" s="157" t="str">
        <f t="shared" si="89"/>
        <v/>
      </c>
      <c r="N55" s="157" t="str">
        <f t="shared" si="89"/>
        <v/>
      </c>
      <c r="O55" s="157" t="str">
        <f t="shared" si="89"/>
        <v/>
      </c>
      <c r="P55" s="157" t="str">
        <f t="shared" si="89"/>
        <v/>
      </c>
      <c r="Q55" s="158" t="str">
        <f t="shared" si="89"/>
        <v/>
      </c>
      <c r="R55" s="156" t="str">
        <f t="shared" si="89"/>
        <v/>
      </c>
      <c r="S55" s="157" t="str">
        <f t="shared" si="89"/>
        <v/>
      </c>
      <c r="T55" s="157" t="str">
        <f t="shared" si="89"/>
        <v/>
      </c>
      <c r="U55" s="157" t="str">
        <f t="shared" si="89"/>
        <v/>
      </c>
      <c r="V55" s="160">
        <f t="shared" si="89"/>
        <v>393446.574</v>
      </c>
      <c r="W55" s="160">
        <f t="shared" si="89"/>
        <v>393446.574</v>
      </c>
      <c r="X55" s="160">
        <f t="shared" si="89"/>
        <v>393446.574</v>
      </c>
      <c r="Y55" s="160">
        <f t="shared" si="89"/>
        <v>393446.574</v>
      </c>
      <c r="Z55" s="160">
        <f t="shared" si="89"/>
        <v>393446.574</v>
      </c>
      <c r="AA55" s="160">
        <f t="shared" si="89"/>
        <v>393446.574</v>
      </c>
      <c r="AB55" s="160">
        <f t="shared" si="89"/>
        <v>393446.574</v>
      </c>
      <c r="AC55" s="161">
        <f t="shared" si="89"/>
        <v>393446.574</v>
      </c>
      <c r="AD55" s="162">
        <f t="shared" si="89"/>
        <v>393446.574</v>
      </c>
      <c r="AE55" s="163" t="str">
        <f t="shared" si="89"/>
        <v/>
      </c>
      <c r="AF55" s="164" t="str">
        <f t="shared" si="89"/>
        <v/>
      </c>
      <c r="AG55" s="164" t="str">
        <f t="shared" si="89"/>
        <v/>
      </c>
      <c r="AH55" s="88"/>
      <c r="AI55" s="88"/>
      <c r="AJ55" s="88"/>
      <c r="AK55" s="88"/>
      <c r="AL55" s="134"/>
      <c r="AM55" s="134"/>
    </row>
    <row r="56">
      <c r="A56" s="122"/>
      <c r="B56" s="95" t="str">
        <f t="shared" si="77"/>
        <v>OS&amp;E</v>
      </c>
      <c r="C56" s="122">
        <f t="shared" si="87"/>
        <v>2039540</v>
      </c>
      <c r="D56" s="122"/>
      <c r="E56" s="122">
        <f t="shared" si="90"/>
        <v>4426085.069</v>
      </c>
      <c r="F56" s="122">
        <f t="shared" ref="F56:AG56" si="91">F22</f>
        <v>3782978.692</v>
      </c>
      <c r="G56" s="112">
        <f t="shared" si="91"/>
        <v>6</v>
      </c>
      <c r="H56" s="88" t="str">
        <f t="shared" si="91"/>
        <v/>
      </c>
      <c r="I56" s="156" t="str">
        <f t="shared" si="91"/>
        <v/>
      </c>
      <c r="J56" s="157" t="str">
        <f t="shared" si="91"/>
        <v/>
      </c>
      <c r="K56" s="158" t="str">
        <f t="shared" si="91"/>
        <v/>
      </c>
      <c r="L56" s="156" t="str">
        <f t="shared" si="91"/>
        <v/>
      </c>
      <c r="M56" s="157" t="str">
        <f t="shared" si="91"/>
        <v/>
      </c>
      <c r="N56" s="157" t="str">
        <f t="shared" si="91"/>
        <v/>
      </c>
      <c r="O56" s="157" t="str">
        <f t="shared" si="91"/>
        <v/>
      </c>
      <c r="P56" s="157" t="str">
        <f t="shared" si="91"/>
        <v/>
      </c>
      <c r="Q56" s="158" t="str">
        <f t="shared" si="91"/>
        <v/>
      </c>
      <c r="R56" s="156" t="str">
        <f t="shared" si="91"/>
        <v/>
      </c>
      <c r="S56" s="157" t="str">
        <f t="shared" si="91"/>
        <v/>
      </c>
      <c r="T56" s="157" t="str">
        <f t="shared" si="91"/>
        <v/>
      </c>
      <c r="U56" s="157" t="str">
        <f t="shared" si="91"/>
        <v/>
      </c>
      <c r="V56" s="157" t="str">
        <f t="shared" si="91"/>
        <v/>
      </c>
      <c r="W56" s="157" t="str">
        <f t="shared" si="91"/>
        <v/>
      </c>
      <c r="X56" s="157" t="str">
        <f t="shared" si="91"/>
        <v/>
      </c>
      <c r="Y56" s="160">
        <f t="shared" si="91"/>
        <v>630496.4486</v>
      </c>
      <c r="Z56" s="160">
        <f t="shared" si="91"/>
        <v>630496.4486</v>
      </c>
      <c r="AA56" s="160">
        <f t="shared" si="91"/>
        <v>630496.4486</v>
      </c>
      <c r="AB56" s="160">
        <f t="shared" si="91"/>
        <v>630496.4486</v>
      </c>
      <c r="AC56" s="161">
        <f t="shared" si="91"/>
        <v>630496.4486</v>
      </c>
      <c r="AD56" s="162">
        <f t="shared" si="91"/>
        <v>630496.4486</v>
      </c>
      <c r="AE56" s="163" t="str">
        <f t="shared" si="91"/>
        <v/>
      </c>
      <c r="AF56" s="164" t="str">
        <f t="shared" si="91"/>
        <v/>
      </c>
      <c r="AG56" s="164" t="str">
        <f t="shared" si="91"/>
        <v/>
      </c>
      <c r="AH56" s="88"/>
      <c r="AI56" s="88"/>
      <c r="AJ56" s="88"/>
      <c r="AK56" s="88"/>
      <c r="AL56" s="134"/>
      <c r="AM56" s="134"/>
    </row>
    <row r="57">
      <c r="A57" s="122"/>
      <c r="B57" s="95" t="str">
        <f t="shared" si="77"/>
        <v>Marketing</v>
      </c>
      <c r="C57" s="122">
        <f t="shared" si="87"/>
        <v>2000000</v>
      </c>
      <c r="D57" s="122"/>
      <c r="E57" s="122">
        <f t="shared" si="90"/>
        <v>4340277.778</v>
      </c>
      <c r="F57" s="122">
        <f t="shared" ref="F57:AG57" si="92">F23</f>
        <v>3578436.61</v>
      </c>
      <c r="G57" s="112">
        <f t="shared" si="92"/>
        <v>13</v>
      </c>
      <c r="H57" s="88" t="str">
        <f t="shared" si="92"/>
        <v/>
      </c>
      <c r="I57" s="159">
        <f t="shared" si="92"/>
        <v>12820.51282</v>
      </c>
      <c r="J57" s="160">
        <f t="shared" si="92"/>
        <v>12820.51282</v>
      </c>
      <c r="K57" s="161">
        <f t="shared" si="92"/>
        <v>12820.51282</v>
      </c>
      <c r="L57" s="159">
        <f t="shared" si="92"/>
        <v>12820.51282</v>
      </c>
      <c r="M57" s="160">
        <f t="shared" si="92"/>
        <v>12820.51282</v>
      </c>
      <c r="N57" s="160">
        <f t="shared" si="92"/>
        <v>12820.51282</v>
      </c>
      <c r="O57" s="160">
        <f t="shared" si="92"/>
        <v>12820.51282</v>
      </c>
      <c r="P57" s="160">
        <f t="shared" si="92"/>
        <v>12820.51282</v>
      </c>
      <c r="Q57" s="161">
        <f t="shared" si="92"/>
        <v>12820.51282</v>
      </c>
      <c r="R57" s="159">
        <f t="shared" si="92"/>
        <v>286050.8437</v>
      </c>
      <c r="S57" s="160">
        <f t="shared" si="92"/>
        <v>286050.8437</v>
      </c>
      <c r="T57" s="160">
        <f t="shared" si="92"/>
        <v>286050.8437</v>
      </c>
      <c r="U57" s="160">
        <f t="shared" si="92"/>
        <v>286050.8437</v>
      </c>
      <c r="V57" s="160">
        <f t="shared" si="92"/>
        <v>286050.8437</v>
      </c>
      <c r="W57" s="160">
        <f t="shared" si="92"/>
        <v>286050.8437</v>
      </c>
      <c r="X57" s="160">
        <f t="shared" si="92"/>
        <v>286050.8437</v>
      </c>
      <c r="Y57" s="160">
        <f t="shared" si="92"/>
        <v>286050.8437</v>
      </c>
      <c r="Z57" s="160">
        <f t="shared" si="92"/>
        <v>286050.8437</v>
      </c>
      <c r="AA57" s="160">
        <f t="shared" si="92"/>
        <v>286050.8437</v>
      </c>
      <c r="AB57" s="160">
        <f t="shared" si="92"/>
        <v>286050.8437</v>
      </c>
      <c r="AC57" s="161">
        <f t="shared" si="92"/>
        <v>131106.6367</v>
      </c>
      <c r="AD57" s="162">
        <f t="shared" si="92"/>
        <v>131106.6367</v>
      </c>
      <c r="AE57" s="163" t="str">
        <f t="shared" si="92"/>
        <v/>
      </c>
      <c r="AF57" s="162">
        <f t="shared" si="92"/>
        <v>92740.97816</v>
      </c>
      <c r="AG57" s="162">
        <f t="shared" si="92"/>
        <v>92740.97816</v>
      </c>
      <c r="AH57" s="88"/>
      <c r="AI57" s="88"/>
      <c r="AJ57" s="88"/>
      <c r="AK57" s="88"/>
      <c r="AL57" s="134"/>
      <c r="AM57" s="134"/>
    </row>
    <row r="58">
      <c r="A58" s="122"/>
      <c r="B58" s="95" t="str">
        <f t="shared" si="77"/>
        <v>DM Fee</v>
      </c>
      <c r="C58" s="122">
        <f t="shared" si="87"/>
        <v>18491313.44</v>
      </c>
      <c r="D58" s="122"/>
      <c r="E58" s="122">
        <f>5%*sum(E42:E53)</f>
        <v>29949085.34</v>
      </c>
      <c r="F58" s="122">
        <f t="shared" ref="F58:AG58" si="93">F24</f>
        <v>33487893.3</v>
      </c>
      <c r="G58" s="112">
        <f t="shared" si="93"/>
        <v>24</v>
      </c>
      <c r="H58" s="88" t="str">
        <f t="shared" si="93"/>
        <v/>
      </c>
      <c r="I58" s="159">
        <f t="shared" si="93"/>
        <v>8000</v>
      </c>
      <c r="J58" s="160">
        <f t="shared" si="93"/>
        <v>8000</v>
      </c>
      <c r="K58" s="161">
        <f t="shared" si="93"/>
        <v>8000</v>
      </c>
      <c r="L58" s="159">
        <f t="shared" si="93"/>
        <v>452433.5471</v>
      </c>
      <c r="M58" s="160">
        <f t="shared" si="93"/>
        <v>452433.5471</v>
      </c>
      <c r="N58" s="160">
        <f t="shared" si="93"/>
        <v>452433.5471</v>
      </c>
      <c r="O58" s="160">
        <f t="shared" si="93"/>
        <v>452433.5471</v>
      </c>
      <c r="P58" s="160">
        <f t="shared" si="93"/>
        <v>452433.5471</v>
      </c>
      <c r="Q58" s="161">
        <f t="shared" si="93"/>
        <v>452433.5471</v>
      </c>
      <c r="R58" s="159">
        <f t="shared" si="93"/>
        <v>2727697.316</v>
      </c>
      <c r="S58" s="160">
        <f t="shared" si="93"/>
        <v>2727697.316</v>
      </c>
      <c r="T58" s="160">
        <f t="shared" si="93"/>
        <v>2371411.681</v>
      </c>
      <c r="U58" s="160">
        <f t="shared" si="93"/>
        <v>2385734.598</v>
      </c>
      <c r="V58" s="160">
        <f t="shared" si="93"/>
        <v>2385734.598</v>
      </c>
      <c r="W58" s="160">
        <f t="shared" si="93"/>
        <v>2385734.598</v>
      </c>
      <c r="X58" s="160">
        <f t="shared" si="93"/>
        <v>2385734.598</v>
      </c>
      <c r="Y58" s="160">
        <f t="shared" si="93"/>
        <v>2449176.382</v>
      </c>
      <c r="Z58" s="160">
        <f t="shared" si="93"/>
        <v>2449176.382</v>
      </c>
      <c r="AA58" s="160">
        <f t="shared" si="93"/>
        <v>2449176.382</v>
      </c>
      <c r="AB58" s="160">
        <f t="shared" si="93"/>
        <v>2449176.382</v>
      </c>
      <c r="AC58" s="161">
        <f t="shared" si="93"/>
        <v>1748610.064</v>
      </c>
      <c r="AD58" s="162">
        <f t="shared" si="93"/>
        <v>1072075.102</v>
      </c>
      <c r="AE58" s="163" t="str">
        <f t="shared" si="93"/>
        <v/>
      </c>
      <c r="AF58" s="162">
        <f t="shared" si="93"/>
        <v>786156.6211</v>
      </c>
      <c r="AG58" s="162">
        <f t="shared" si="93"/>
        <v>786156.6211</v>
      </c>
      <c r="AH58" s="88"/>
      <c r="AI58" s="88"/>
      <c r="AJ58" s="88"/>
      <c r="AK58" s="88"/>
      <c r="AL58" s="134"/>
      <c r="AM58" s="134"/>
    </row>
    <row r="59">
      <c r="A59" s="122"/>
      <c r="B59" s="95" t="str">
        <f t="shared" si="77"/>
        <v>DARK Management Fee (3%)</v>
      </c>
      <c r="C59" s="122">
        <f t="shared" si="87"/>
        <v>11827986.4</v>
      </c>
      <c r="D59" s="122"/>
      <c r="E59" s="122">
        <f t="shared" ref="E59:E60" si="95">C59/$C$4*$E$4</f>
        <v>25668373.26</v>
      </c>
      <c r="F59" s="122">
        <f t="shared" ref="F59:AG59" si="94">F25</f>
        <v>18282317.13</v>
      </c>
      <c r="G59" s="112">
        <f t="shared" si="94"/>
        <v>24</v>
      </c>
      <c r="H59" s="88" t="str">
        <f t="shared" si="94"/>
        <v/>
      </c>
      <c r="I59" s="159">
        <f t="shared" si="94"/>
        <v>914115.8567</v>
      </c>
      <c r="J59" s="160">
        <f t="shared" si="94"/>
        <v>914115.8567</v>
      </c>
      <c r="K59" s="161">
        <f t="shared" si="94"/>
        <v>914115.8567</v>
      </c>
      <c r="L59" s="159">
        <f t="shared" si="94"/>
        <v>914115.8567</v>
      </c>
      <c r="M59" s="160">
        <f t="shared" si="94"/>
        <v>914115.8567</v>
      </c>
      <c r="N59" s="160">
        <f t="shared" si="94"/>
        <v>914115.8567</v>
      </c>
      <c r="O59" s="160">
        <f t="shared" si="94"/>
        <v>914115.8567</v>
      </c>
      <c r="P59" s="160">
        <f t="shared" si="94"/>
        <v>914115.8567</v>
      </c>
      <c r="Q59" s="161">
        <f t="shared" si="94"/>
        <v>914115.8567</v>
      </c>
      <c r="R59" s="159">
        <f t="shared" si="94"/>
        <v>914115.8567</v>
      </c>
      <c r="S59" s="160">
        <f t="shared" si="94"/>
        <v>914115.8567</v>
      </c>
      <c r="T59" s="160">
        <f t="shared" si="94"/>
        <v>914115.8567</v>
      </c>
      <c r="U59" s="160">
        <f t="shared" si="94"/>
        <v>914115.8567</v>
      </c>
      <c r="V59" s="160">
        <f t="shared" si="94"/>
        <v>914115.8567</v>
      </c>
      <c r="W59" s="160">
        <f t="shared" si="94"/>
        <v>914115.8567</v>
      </c>
      <c r="X59" s="160">
        <f t="shared" si="94"/>
        <v>914115.8567</v>
      </c>
      <c r="Y59" s="160">
        <f t="shared" si="94"/>
        <v>914115.8567</v>
      </c>
      <c r="Z59" s="160">
        <f t="shared" si="94"/>
        <v>914115.8567</v>
      </c>
      <c r="AA59" s="160">
        <f t="shared" si="94"/>
        <v>914115.8567</v>
      </c>
      <c r="AB59" s="160">
        <f t="shared" si="94"/>
        <v>914115.8567</v>
      </c>
      <c r="AC59" s="161">
        <f t="shared" si="94"/>
        <v>914115.8567</v>
      </c>
      <c r="AD59" s="162">
        <f t="shared" si="94"/>
        <v>914115.8567</v>
      </c>
      <c r="AE59" s="163" t="str">
        <f t="shared" si="94"/>
        <v/>
      </c>
      <c r="AF59" s="162">
        <f t="shared" si="94"/>
        <v>914115.8567</v>
      </c>
      <c r="AG59" s="162">
        <f t="shared" si="94"/>
        <v>914115.8567</v>
      </c>
      <c r="AH59" s="88"/>
      <c r="AI59" s="88"/>
      <c r="AJ59" s="88"/>
      <c r="AK59" s="88"/>
      <c r="AL59" s="134"/>
      <c r="AM59" s="134"/>
    </row>
    <row r="60">
      <c r="A60" s="122"/>
      <c r="B60" s="95" t="str">
        <f t="shared" si="77"/>
        <v>Contingency on all cost (10%)</v>
      </c>
      <c r="C60" s="122">
        <f t="shared" si="87"/>
        <v>39426621.32</v>
      </c>
      <c r="D60" s="122"/>
      <c r="E60" s="122">
        <f t="shared" si="95"/>
        <v>85561244.19</v>
      </c>
      <c r="F60" s="122">
        <f t="shared" ref="F60:AG60" si="96">F26</f>
        <v>70972555.91</v>
      </c>
      <c r="G60" s="112">
        <f t="shared" si="96"/>
        <v>13</v>
      </c>
      <c r="H60" s="88" t="str">
        <f t="shared" si="96"/>
        <v/>
      </c>
      <c r="I60" s="159">
        <f t="shared" si="96"/>
        <v>109493.6369</v>
      </c>
      <c r="J60" s="160">
        <f t="shared" si="96"/>
        <v>109493.6369</v>
      </c>
      <c r="K60" s="161">
        <f t="shared" si="96"/>
        <v>109493.6369</v>
      </c>
      <c r="L60" s="159">
        <f t="shared" si="96"/>
        <v>252734.7521</v>
      </c>
      <c r="M60" s="160">
        <f t="shared" si="96"/>
        <v>252734.7521</v>
      </c>
      <c r="N60" s="160">
        <f t="shared" si="96"/>
        <v>252734.7521</v>
      </c>
      <c r="O60" s="160">
        <f t="shared" si="96"/>
        <v>252734.7521</v>
      </c>
      <c r="P60" s="160">
        <f t="shared" si="96"/>
        <v>252734.7521</v>
      </c>
      <c r="Q60" s="161">
        <f t="shared" si="96"/>
        <v>252734.7521</v>
      </c>
      <c r="R60" s="159">
        <f t="shared" si="96"/>
        <v>5675069.848</v>
      </c>
      <c r="S60" s="160">
        <f t="shared" si="96"/>
        <v>5675069.848</v>
      </c>
      <c r="T60" s="160">
        <f t="shared" si="96"/>
        <v>5675069.848</v>
      </c>
      <c r="U60" s="160">
        <f t="shared" si="96"/>
        <v>5675069.848</v>
      </c>
      <c r="V60" s="160">
        <f t="shared" si="96"/>
        <v>5675069.848</v>
      </c>
      <c r="W60" s="160">
        <f t="shared" si="96"/>
        <v>5675069.848</v>
      </c>
      <c r="X60" s="160">
        <f t="shared" si="96"/>
        <v>5675069.848</v>
      </c>
      <c r="Y60" s="160">
        <f t="shared" si="96"/>
        <v>5675069.848</v>
      </c>
      <c r="Z60" s="160">
        <f t="shared" si="96"/>
        <v>5675069.848</v>
      </c>
      <c r="AA60" s="160">
        <f t="shared" si="96"/>
        <v>5675069.848</v>
      </c>
      <c r="AB60" s="160">
        <f t="shared" si="96"/>
        <v>5675069.848</v>
      </c>
      <c r="AC60" s="161">
        <f t="shared" si="96"/>
        <v>2601073.68</v>
      </c>
      <c r="AD60" s="162">
        <f t="shared" si="96"/>
        <v>2601073.68</v>
      </c>
      <c r="AE60" s="163" t="str">
        <f t="shared" si="96"/>
        <v/>
      </c>
      <c r="AF60" s="162">
        <f t="shared" si="96"/>
        <v>1828231.713</v>
      </c>
      <c r="AG60" s="162">
        <f t="shared" si="96"/>
        <v>1828231.713</v>
      </c>
      <c r="AH60" s="88"/>
      <c r="AI60" s="88"/>
      <c r="AJ60" s="88"/>
      <c r="AK60" s="88"/>
      <c r="AL60" s="134"/>
      <c r="AM60" s="134"/>
    </row>
    <row r="61">
      <c r="A61" s="147"/>
      <c r="B61" s="139" t="str">
        <f t="shared" si="77"/>
        <v>Total</v>
      </c>
      <c r="C61" s="147">
        <f t="shared" si="87"/>
        <v>445520820.9</v>
      </c>
      <c r="D61" s="147"/>
      <c r="E61" s="147">
        <f>sum(E42:E60)</f>
        <v>753069764.9</v>
      </c>
      <c r="F61" s="147">
        <f t="shared" ref="F61:AG61" si="97">F27</f>
        <v>803403066.8</v>
      </c>
      <c r="G61" s="146" t="str">
        <f t="shared" si="97"/>
        <v/>
      </c>
      <c r="H61" s="146" t="str">
        <f t="shared" si="97"/>
        <v/>
      </c>
      <c r="I61" s="166">
        <f t="shared" si="97"/>
        <v>1204430.006</v>
      </c>
      <c r="J61" s="167">
        <f t="shared" si="97"/>
        <v>1204430.006</v>
      </c>
      <c r="K61" s="168">
        <f t="shared" si="97"/>
        <v>1204430.006</v>
      </c>
      <c r="L61" s="166">
        <f t="shared" si="97"/>
        <v>22680775.61</v>
      </c>
      <c r="M61" s="167">
        <f t="shared" si="97"/>
        <v>10680775.61</v>
      </c>
      <c r="N61" s="167">
        <f t="shared" si="97"/>
        <v>10680775.61</v>
      </c>
      <c r="O61" s="167">
        <f t="shared" si="97"/>
        <v>10680775.61</v>
      </c>
      <c r="P61" s="167">
        <f t="shared" si="97"/>
        <v>10680775.61</v>
      </c>
      <c r="Q61" s="168">
        <f t="shared" si="97"/>
        <v>10680775.61</v>
      </c>
      <c r="R61" s="166">
        <f t="shared" si="97"/>
        <v>64156880.18</v>
      </c>
      <c r="S61" s="167">
        <f t="shared" si="97"/>
        <v>64156880.18</v>
      </c>
      <c r="T61" s="167">
        <f t="shared" si="97"/>
        <v>56674881.85</v>
      </c>
      <c r="U61" s="167">
        <f t="shared" si="97"/>
        <v>56975663.1</v>
      </c>
      <c r="V61" s="167">
        <f t="shared" si="97"/>
        <v>57369109.67</v>
      </c>
      <c r="W61" s="167">
        <f t="shared" si="97"/>
        <v>57369109.67</v>
      </c>
      <c r="X61" s="167">
        <f t="shared" si="97"/>
        <v>57369109.67</v>
      </c>
      <c r="Y61" s="167">
        <f t="shared" si="97"/>
        <v>59331883.6</v>
      </c>
      <c r="Z61" s="167">
        <f t="shared" si="97"/>
        <v>59331883.6</v>
      </c>
      <c r="AA61" s="167">
        <f t="shared" si="97"/>
        <v>59331883.6</v>
      </c>
      <c r="AB61" s="167">
        <f t="shared" si="97"/>
        <v>59331883.6</v>
      </c>
      <c r="AC61" s="168">
        <f t="shared" si="97"/>
        <v>41391050.54</v>
      </c>
      <c r="AD61" s="169">
        <f t="shared" si="97"/>
        <v>27183816.34</v>
      </c>
      <c r="AE61" s="170" t="str">
        <f t="shared" si="97"/>
        <v/>
      </c>
      <c r="AF61" s="169">
        <f t="shared" si="97"/>
        <v>19344377.59</v>
      </c>
      <c r="AG61" s="169">
        <f t="shared" si="97"/>
        <v>19344377.59</v>
      </c>
      <c r="AH61" s="146"/>
      <c r="AI61" s="171"/>
      <c r="AJ61" s="171"/>
      <c r="AK61" s="171"/>
      <c r="AL61" s="171"/>
      <c r="AM61" s="171"/>
    </row>
    <row r="62">
      <c r="A62" s="88"/>
      <c r="B62" s="88" t="str">
        <f t="shared" si="77"/>
        <v/>
      </c>
      <c r="C62" s="88" t="str">
        <f t="shared" si="87"/>
        <v/>
      </c>
      <c r="D62" s="88"/>
      <c r="E62" s="144" t="str">
        <f t="shared" ref="E62:AG62" si="98">E28</f>
        <v/>
      </c>
      <c r="F62" s="88" t="str">
        <f t="shared" si="98"/>
        <v/>
      </c>
      <c r="G62" s="95" t="str">
        <f t="shared" si="98"/>
        <v/>
      </c>
      <c r="H62" s="88" t="str">
        <f t="shared" si="98"/>
        <v/>
      </c>
      <c r="I62" s="95" t="str">
        <f t="shared" si="98"/>
        <v/>
      </c>
      <c r="J62" s="95" t="str">
        <f t="shared" si="98"/>
        <v/>
      </c>
      <c r="K62" s="95" t="str">
        <f t="shared" si="98"/>
        <v/>
      </c>
      <c r="L62" s="95" t="str">
        <f t="shared" si="98"/>
        <v/>
      </c>
      <c r="M62" s="95" t="str">
        <f t="shared" si="98"/>
        <v/>
      </c>
      <c r="N62" s="95" t="str">
        <f t="shared" si="98"/>
        <v/>
      </c>
      <c r="O62" s="95" t="str">
        <f t="shared" si="98"/>
        <v/>
      </c>
      <c r="P62" s="95" t="str">
        <f t="shared" si="98"/>
        <v/>
      </c>
      <c r="Q62" s="95" t="str">
        <f t="shared" si="98"/>
        <v/>
      </c>
      <c r="R62" s="95" t="str">
        <f t="shared" si="98"/>
        <v/>
      </c>
      <c r="S62" s="95" t="str">
        <f t="shared" si="98"/>
        <v/>
      </c>
      <c r="T62" s="95" t="str">
        <f t="shared" si="98"/>
        <v/>
      </c>
      <c r="U62" s="95" t="str">
        <f t="shared" si="98"/>
        <v/>
      </c>
      <c r="V62" s="95" t="str">
        <f t="shared" si="98"/>
        <v/>
      </c>
      <c r="W62" s="95" t="str">
        <f t="shared" si="98"/>
        <v/>
      </c>
      <c r="X62" s="95" t="str">
        <f t="shared" si="98"/>
        <v/>
      </c>
      <c r="Y62" s="95" t="str">
        <f t="shared" si="98"/>
        <v/>
      </c>
      <c r="Z62" s="95" t="str">
        <f t="shared" si="98"/>
        <v/>
      </c>
      <c r="AA62" s="95" t="str">
        <f t="shared" si="98"/>
        <v/>
      </c>
      <c r="AB62" s="95" t="str">
        <f t="shared" si="98"/>
        <v/>
      </c>
      <c r="AC62" s="95" t="str">
        <f t="shared" si="98"/>
        <v/>
      </c>
      <c r="AD62" s="95" t="str">
        <f t="shared" si="98"/>
        <v/>
      </c>
      <c r="AE62" s="95" t="str">
        <f t="shared" si="98"/>
        <v/>
      </c>
      <c r="AF62" s="95" t="str">
        <f t="shared" si="98"/>
        <v/>
      </c>
      <c r="AG62" s="95" t="str">
        <f t="shared" si="98"/>
        <v/>
      </c>
      <c r="AH62" s="88"/>
      <c r="AI62" s="134"/>
      <c r="AJ62" s="134"/>
      <c r="AK62" s="134"/>
      <c r="AL62" s="134"/>
      <c r="AM62" s="134"/>
    </row>
    <row r="63">
      <c r="A63" s="145"/>
      <c r="B63" s="146" t="str">
        <f t="shared" si="77"/>
        <v>Costs</v>
      </c>
      <c r="C63" s="88" t="str">
        <f t="shared" si="87"/>
        <v/>
      </c>
      <c r="D63" s="88"/>
      <c r="E63" s="144" t="str">
        <f t="shared" ref="E63:AG63" si="99">E29</f>
        <v/>
      </c>
      <c r="F63" s="88" t="str">
        <f t="shared" si="99"/>
        <v/>
      </c>
      <c r="G63" s="95" t="str">
        <f t="shared" si="99"/>
        <v/>
      </c>
      <c r="H63" s="88" t="str">
        <f t="shared" si="99"/>
        <v/>
      </c>
      <c r="I63" s="95" t="str">
        <f t="shared" si="99"/>
        <v/>
      </c>
      <c r="J63" s="95" t="str">
        <f t="shared" si="99"/>
        <v/>
      </c>
      <c r="K63" s="95" t="str">
        <f t="shared" si="99"/>
        <v/>
      </c>
      <c r="L63" s="95" t="str">
        <f t="shared" si="99"/>
        <v/>
      </c>
      <c r="M63" s="95" t="str">
        <f t="shared" si="99"/>
        <v/>
      </c>
      <c r="N63" s="95" t="str">
        <f t="shared" si="99"/>
        <v/>
      </c>
      <c r="O63" s="95" t="str">
        <f t="shared" si="99"/>
        <v/>
      </c>
      <c r="P63" s="95" t="str">
        <f t="shared" si="99"/>
        <v/>
      </c>
      <c r="Q63" s="95" t="str">
        <f t="shared" si="99"/>
        <v/>
      </c>
      <c r="R63" s="95" t="str">
        <f t="shared" si="99"/>
        <v/>
      </c>
      <c r="S63" s="95" t="str">
        <f t="shared" si="99"/>
        <v/>
      </c>
      <c r="T63" s="95" t="str">
        <f t="shared" si="99"/>
        <v/>
      </c>
      <c r="U63" s="95" t="str">
        <f t="shared" si="99"/>
        <v/>
      </c>
      <c r="V63" s="95" t="str">
        <f t="shared" si="99"/>
        <v/>
      </c>
      <c r="W63" s="95" t="str">
        <f t="shared" si="99"/>
        <v/>
      </c>
      <c r="X63" s="95" t="str">
        <f t="shared" si="99"/>
        <v/>
      </c>
      <c r="Y63" s="95" t="str">
        <f t="shared" si="99"/>
        <v/>
      </c>
      <c r="Z63" s="95" t="str">
        <f t="shared" si="99"/>
        <v/>
      </c>
      <c r="AA63" s="95" t="str">
        <f t="shared" si="99"/>
        <v/>
      </c>
      <c r="AB63" s="95" t="str">
        <f t="shared" si="99"/>
        <v/>
      </c>
      <c r="AC63" s="95" t="str">
        <f t="shared" si="99"/>
        <v/>
      </c>
      <c r="AD63" s="95" t="str">
        <f t="shared" si="99"/>
        <v/>
      </c>
      <c r="AE63" s="95" t="str">
        <f t="shared" si="99"/>
        <v/>
      </c>
      <c r="AF63" s="95" t="str">
        <f t="shared" si="99"/>
        <v/>
      </c>
      <c r="AG63" s="95" t="str">
        <f t="shared" si="99"/>
        <v/>
      </c>
      <c r="AH63" s="88"/>
      <c r="AI63" s="134"/>
      <c r="AJ63" s="134"/>
      <c r="AK63" s="134"/>
      <c r="AL63" s="134"/>
      <c r="AM63" s="134"/>
    </row>
    <row r="64">
      <c r="A64" s="88"/>
      <c r="B64" s="95" t="str">
        <f t="shared" si="77"/>
        <v>Build</v>
      </c>
      <c r="C64" s="122" t="str">
        <f t="shared" si="87"/>
        <v/>
      </c>
      <c r="D64" s="122"/>
      <c r="E64" s="122">
        <f t="shared" ref="E64:AG64" si="100">E30</f>
        <v>742197828.9</v>
      </c>
      <c r="F64" s="122">
        <f t="shared" si="100"/>
        <v>721528076.4</v>
      </c>
      <c r="G64" s="95" t="str">
        <f t="shared" si="100"/>
        <v/>
      </c>
      <c r="H64" s="88" t="str">
        <f t="shared" si="100"/>
        <v/>
      </c>
      <c r="I64" s="122">
        <f t="shared" si="100"/>
        <v>1082115.857</v>
      </c>
      <c r="J64" s="122">
        <f t="shared" si="100"/>
        <v>1082115.857</v>
      </c>
      <c r="K64" s="122">
        <f t="shared" si="100"/>
        <v>1082115.857</v>
      </c>
      <c r="L64" s="122">
        <f t="shared" si="100"/>
        <v>10415220.35</v>
      </c>
      <c r="M64" s="122">
        <f t="shared" si="100"/>
        <v>10415220.35</v>
      </c>
      <c r="N64" s="122">
        <f t="shared" si="100"/>
        <v>10415220.35</v>
      </c>
      <c r="O64" s="122">
        <f t="shared" si="100"/>
        <v>10415220.35</v>
      </c>
      <c r="P64" s="122">
        <f t="shared" si="100"/>
        <v>10415220.35</v>
      </c>
      <c r="Q64" s="122">
        <f t="shared" si="100"/>
        <v>10415220.35</v>
      </c>
      <c r="R64" s="122">
        <f t="shared" si="100"/>
        <v>58195759.49</v>
      </c>
      <c r="S64" s="122">
        <f t="shared" si="100"/>
        <v>58195759.49</v>
      </c>
      <c r="T64" s="122">
        <f t="shared" si="100"/>
        <v>50713761.16</v>
      </c>
      <c r="U64" s="122">
        <f t="shared" si="100"/>
        <v>51014542.41</v>
      </c>
      <c r="V64" s="122">
        <f t="shared" si="100"/>
        <v>51014542.41</v>
      </c>
      <c r="W64" s="122">
        <f t="shared" si="100"/>
        <v>51014542.41</v>
      </c>
      <c r="X64" s="122">
        <f t="shared" si="100"/>
        <v>51014542.41</v>
      </c>
      <c r="Y64" s="122">
        <f t="shared" si="100"/>
        <v>52346819.88</v>
      </c>
      <c r="Z64" s="122">
        <f t="shared" si="100"/>
        <v>52346819.88</v>
      </c>
      <c r="AA64" s="122">
        <f t="shared" si="100"/>
        <v>52346819.88</v>
      </c>
      <c r="AB64" s="122">
        <f t="shared" si="100"/>
        <v>52346819.88</v>
      </c>
      <c r="AC64" s="122">
        <f t="shared" si="100"/>
        <v>37634927.2</v>
      </c>
      <c r="AD64" s="122">
        <f t="shared" si="100"/>
        <v>23427693</v>
      </c>
      <c r="AE64" s="95" t="str">
        <f t="shared" si="100"/>
        <v/>
      </c>
      <c r="AF64" s="122">
        <f t="shared" si="100"/>
        <v>17423404.9</v>
      </c>
      <c r="AG64" s="122">
        <f t="shared" si="100"/>
        <v>17423404.9</v>
      </c>
      <c r="AH64" s="88"/>
      <c r="AI64" s="134"/>
      <c r="AJ64" s="134"/>
      <c r="AK64" s="134"/>
      <c r="AL64" s="134"/>
      <c r="AM64" s="134"/>
    </row>
    <row r="65">
      <c r="A65" s="145"/>
      <c r="B65" s="95" t="str">
        <f t="shared" si="77"/>
        <v>Operations</v>
      </c>
      <c r="C65" s="122" t="str">
        <f t="shared" si="87"/>
        <v/>
      </c>
      <c r="D65" s="122"/>
      <c r="E65" s="122">
        <f t="shared" ref="E65:AG65" si="101">E31</f>
        <v>11033636.98</v>
      </c>
      <c r="F65" s="122">
        <f t="shared" si="101"/>
        <v>10902434.47</v>
      </c>
      <c r="G65" s="95" t="str">
        <f t="shared" si="101"/>
        <v/>
      </c>
      <c r="H65" s="95" t="str">
        <f t="shared" si="101"/>
        <v/>
      </c>
      <c r="I65" s="122">
        <f t="shared" si="101"/>
        <v>12820.51282</v>
      </c>
      <c r="J65" s="122">
        <f t="shared" si="101"/>
        <v>12820.51282</v>
      </c>
      <c r="K65" s="122">
        <f t="shared" si="101"/>
        <v>12820.51282</v>
      </c>
      <c r="L65" s="122">
        <f t="shared" si="101"/>
        <v>12820.51282</v>
      </c>
      <c r="M65" s="122">
        <f t="shared" si="101"/>
        <v>12820.51282</v>
      </c>
      <c r="N65" s="122">
        <f t="shared" si="101"/>
        <v>12820.51282</v>
      </c>
      <c r="O65" s="122">
        <f t="shared" si="101"/>
        <v>12820.51282</v>
      </c>
      <c r="P65" s="122">
        <f t="shared" si="101"/>
        <v>12820.51282</v>
      </c>
      <c r="Q65" s="122">
        <f t="shared" si="101"/>
        <v>12820.51282</v>
      </c>
      <c r="R65" s="122">
        <f t="shared" si="101"/>
        <v>286050.8437</v>
      </c>
      <c r="S65" s="122">
        <f t="shared" si="101"/>
        <v>286050.8437</v>
      </c>
      <c r="T65" s="122">
        <f t="shared" si="101"/>
        <v>286050.8437</v>
      </c>
      <c r="U65" s="122">
        <f t="shared" si="101"/>
        <v>286050.8437</v>
      </c>
      <c r="V65" s="122">
        <f t="shared" si="101"/>
        <v>679497.4177</v>
      </c>
      <c r="W65" s="122">
        <f t="shared" si="101"/>
        <v>679497.4177</v>
      </c>
      <c r="X65" s="122">
        <f t="shared" si="101"/>
        <v>679497.4177</v>
      </c>
      <c r="Y65" s="122">
        <f t="shared" si="101"/>
        <v>1309993.866</v>
      </c>
      <c r="Z65" s="122">
        <f t="shared" si="101"/>
        <v>1309993.866</v>
      </c>
      <c r="AA65" s="122">
        <f t="shared" si="101"/>
        <v>1309993.866</v>
      </c>
      <c r="AB65" s="122">
        <f t="shared" si="101"/>
        <v>1309993.866</v>
      </c>
      <c r="AC65" s="122">
        <f t="shared" si="101"/>
        <v>1155049.659</v>
      </c>
      <c r="AD65" s="122">
        <f t="shared" si="101"/>
        <v>1155049.659</v>
      </c>
      <c r="AE65" s="95" t="str">
        <f t="shared" si="101"/>
        <v/>
      </c>
      <c r="AF65" s="122">
        <f t="shared" si="101"/>
        <v>92740.97816</v>
      </c>
      <c r="AG65" s="122">
        <f t="shared" si="101"/>
        <v>92740.97816</v>
      </c>
      <c r="AH65" s="134"/>
      <c r="AI65" s="134"/>
      <c r="AJ65" s="134"/>
      <c r="AK65" s="134"/>
      <c r="AL65" s="134"/>
      <c r="AM65" s="134"/>
    </row>
    <row r="66">
      <c r="A66" s="145"/>
      <c r="B66" s="95" t="str">
        <f t="shared" si="77"/>
        <v>Contingency</v>
      </c>
      <c r="C66" s="122" t="str">
        <f t="shared" si="87"/>
        <v/>
      </c>
      <c r="D66" s="122"/>
      <c r="E66" s="122">
        <f t="shared" ref="E66:AG66" si="102">E32</f>
        <v>73129268.53</v>
      </c>
      <c r="F66" s="122">
        <f t="shared" si="102"/>
        <v>70972555.91</v>
      </c>
      <c r="G66" s="95" t="str">
        <f t="shared" si="102"/>
        <v/>
      </c>
      <c r="H66" s="95" t="str">
        <f t="shared" si="102"/>
        <v/>
      </c>
      <c r="I66" s="122">
        <f t="shared" si="102"/>
        <v>109493.6369</v>
      </c>
      <c r="J66" s="122">
        <f t="shared" si="102"/>
        <v>109493.6369</v>
      </c>
      <c r="K66" s="122">
        <f t="shared" si="102"/>
        <v>109493.6369</v>
      </c>
      <c r="L66" s="122">
        <f t="shared" si="102"/>
        <v>252734.7521</v>
      </c>
      <c r="M66" s="122">
        <f t="shared" si="102"/>
        <v>252734.7521</v>
      </c>
      <c r="N66" s="122">
        <f t="shared" si="102"/>
        <v>252734.7521</v>
      </c>
      <c r="O66" s="122">
        <f t="shared" si="102"/>
        <v>252734.7521</v>
      </c>
      <c r="P66" s="122">
        <f t="shared" si="102"/>
        <v>252734.7521</v>
      </c>
      <c r="Q66" s="122">
        <f t="shared" si="102"/>
        <v>252734.7521</v>
      </c>
      <c r="R66" s="122">
        <f t="shared" si="102"/>
        <v>5675069.848</v>
      </c>
      <c r="S66" s="122">
        <f t="shared" si="102"/>
        <v>5675069.848</v>
      </c>
      <c r="T66" s="122">
        <f t="shared" si="102"/>
        <v>5675069.848</v>
      </c>
      <c r="U66" s="122">
        <f t="shared" si="102"/>
        <v>5675069.848</v>
      </c>
      <c r="V66" s="122">
        <f t="shared" si="102"/>
        <v>5675069.848</v>
      </c>
      <c r="W66" s="122">
        <f t="shared" si="102"/>
        <v>5675069.848</v>
      </c>
      <c r="X66" s="122">
        <f t="shared" si="102"/>
        <v>5675069.848</v>
      </c>
      <c r="Y66" s="122">
        <f t="shared" si="102"/>
        <v>5675069.848</v>
      </c>
      <c r="Z66" s="122">
        <f t="shared" si="102"/>
        <v>5675069.848</v>
      </c>
      <c r="AA66" s="122">
        <f t="shared" si="102"/>
        <v>5675069.848</v>
      </c>
      <c r="AB66" s="122">
        <f t="shared" si="102"/>
        <v>5675069.848</v>
      </c>
      <c r="AC66" s="122">
        <f t="shared" si="102"/>
        <v>2601073.68</v>
      </c>
      <c r="AD66" s="122">
        <f t="shared" si="102"/>
        <v>2601073.68</v>
      </c>
      <c r="AE66" s="95" t="str">
        <f t="shared" si="102"/>
        <v/>
      </c>
      <c r="AF66" s="122">
        <f t="shared" si="102"/>
        <v>1828231.713</v>
      </c>
      <c r="AG66" s="122">
        <f t="shared" si="102"/>
        <v>1828231.713</v>
      </c>
      <c r="AH66" s="134"/>
      <c r="AI66" s="134"/>
      <c r="AJ66" s="134"/>
      <c r="AK66" s="134"/>
      <c r="AL66" s="134"/>
      <c r="AM66" s="134"/>
    </row>
    <row r="67">
      <c r="A67" s="88"/>
      <c r="B67" s="95" t="str">
        <f t="shared" si="77"/>
        <v/>
      </c>
      <c r="C67" s="88" t="str">
        <f t="shared" si="87"/>
        <v/>
      </c>
      <c r="D67" s="88"/>
      <c r="E67" s="144" t="str">
        <f t="shared" ref="E67:AG67" si="103">E33</f>
        <v/>
      </c>
      <c r="F67" s="95" t="str">
        <f t="shared" si="103"/>
        <v/>
      </c>
      <c r="G67" s="95" t="str">
        <f t="shared" si="103"/>
        <v/>
      </c>
      <c r="H67" s="95" t="str">
        <f t="shared" si="103"/>
        <v/>
      </c>
      <c r="I67" s="95" t="str">
        <f t="shared" si="103"/>
        <v/>
      </c>
      <c r="J67" s="95" t="str">
        <f t="shared" si="103"/>
        <v/>
      </c>
      <c r="K67" s="95" t="str">
        <f t="shared" si="103"/>
        <v/>
      </c>
      <c r="L67" s="95" t="str">
        <f t="shared" si="103"/>
        <v/>
      </c>
      <c r="M67" s="95" t="str">
        <f t="shared" si="103"/>
        <v/>
      </c>
      <c r="N67" s="95" t="str">
        <f t="shared" si="103"/>
        <v/>
      </c>
      <c r="O67" s="95" t="str">
        <f t="shared" si="103"/>
        <v/>
      </c>
      <c r="P67" s="95" t="str">
        <f t="shared" si="103"/>
        <v/>
      </c>
      <c r="Q67" s="95" t="str">
        <f t="shared" si="103"/>
        <v/>
      </c>
      <c r="R67" s="95" t="str">
        <f t="shared" si="103"/>
        <v/>
      </c>
      <c r="S67" s="95" t="str">
        <f t="shared" si="103"/>
        <v/>
      </c>
      <c r="T67" s="95" t="str">
        <f t="shared" si="103"/>
        <v/>
      </c>
      <c r="U67" s="95" t="str">
        <f t="shared" si="103"/>
        <v/>
      </c>
      <c r="V67" s="95" t="str">
        <f t="shared" si="103"/>
        <v/>
      </c>
      <c r="W67" s="95" t="str">
        <f t="shared" si="103"/>
        <v/>
      </c>
      <c r="X67" s="95" t="str">
        <f t="shared" si="103"/>
        <v/>
      </c>
      <c r="Y67" s="95" t="str">
        <f t="shared" si="103"/>
        <v/>
      </c>
      <c r="Z67" s="95" t="str">
        <f t="shared" si="103"/>
        <v/>
      </c>
      <c r="AA67" s="95" t="str">
        <f t="shared" si="103"/>
        <v/>
      </c>
      <c r="AB67" s="95" t="str">
        <f t="shared" si="103"/>
        <v/>
      </c>
      <c r="AC67" s="95" t="str">
        <f t="shared" si="103"/>
        <v/>
      </c>
      <c r="AD67" s="95" t="str">
        <f t="shared" si="103"/>
        <v/>
      </c>
      <c r="AE67" s="95" t="str">
        <f t="shared" si="103"/>
        <v/>
      </c>
      <c r="AF67" s="95" t="str">
        <f t="shared" si="103"/>
        <v/>
      </c>
      <c r="AG67" s="95" t="str">
        <f t="shared" si="103"/>
        <v/>
      </c>
      <c r="AH67" s="88"/>
      <c r="AI67" s="88"/>
      <c r="AJ67" s="88"/>
      <c r="AK67" s="88"/>
      <c r="AL67" s="88"/>
      <c r="AM67" s="88"/>
    </row>
    <row r="68">
      <c r="A68" s="88"/>
      <c r="B68" s="88" t="str">
        <f t="shared" si="77"/>
        <v>Land</v>
      </c>
      <c r="C68" s="88" t="str">
        <f t="shared" si="87"/>
        <v/>
      </c>
      <c r="D68" s="88"/>
      <c r="E68" s="144">
        <f t="shared" ref="E68:AG68" si="104">E34</f>
        <v>120000000</v>
      </c>
      <c r="F68" s="88" t="str">
        <f t="shared" si="104"/>
        <v/>
      </c>
      <c r="G68" s="95" t="str">
        <f t="shared" si="104"/>
        <v/>
      </c>
      <c r="H68" s="95" t="str">
        <f t="shared" si="104"/>
        <v/>
      </c>
      <c r="I68" s="95" t="str">
        <f t="shared" si="104"/>
        <v/>
      </c>
      <c r="J68" s="95" t="str">
        <f t="shared" si="104"/>
        <v/>
      </c>
      <c r="K68" s="95" t="str">
        <f t="shared" si="104"/>
        <v/>
      </c>
      <c r="L68" s="95">
        <f t="shared" si="104"/>
        <v>120000000</v>
      </c>
      <c r="M68" s="95" t="str">
        <f t="shared" si="104"/>
        <v/>
      </c>
      <c r="N68" s="95" t="str">
        <f t="shared" si="104"/>
        <v/>
      </c>
      <c r="O68" s="95" t="str">
        <f t="shared" si="104"/>
        <v/>
      </c>
      <c r="P68" s="95" t="str">
        <f t="shared" si="104"/>
        <v/>
      </c>
      <c r="Q68" s="95" t="str">
        <f t="shared" si="104"/>
        <v/>
      </c>
      <c r="R68" s="95" t="str">
        <f t="shared" si="104"/>
        <v/>
      </c>
      <c r="S68" s="95" t="str">
        <f t="shared" si="104"/>
        <v/>
      </c>
      <c r="T68" s="95" t="str">
        <f t="shared" si="104"/>
        <v/>
      </c>
      <c r="U68" s="95" t="str">
        <f t="shared" si="104"/>
        <v/>
      </c>
      <c r="V68" s="95" t="str">
        <f t="shared" si="104"/>
        <v/>
      </c>
      <c r="W68" s="95" t="str">
        <f t="shared" si="104"/>
        <v/>
      </c>
      <c r="X68" s="95" t="str">
        <f t="shared" si="104"/>
        <v/>
      </c>
      <c r="Y68" s="95" t="str">
        <f t="shared" si="104"/>
        <v/>
      </c>
      <c r="Z68" s="95" t="str">
        <f t="shared" si="104"/>
        <v/>
      </c>
      <c r="AA68" s="95" t="str">
        <f t="shared" si="104"/>
        <v/>
      </c>
      <c r="AB68" s="95" t="str">
        <f t="shared" si="104"/>
        <v/>
      </c>
      <c r="AC68" s="95" t="str">
        <f t="shared" si="104"/>
        <v/>
      </c>
      <c r="AD68" s="95" t="str">
        <f t="shared" si="104"/>
        <v/>
      </c>
      <c r="AE68" s="95" t="str">
        <f t="shared" si="104"/>
        <v/>
      </c>
      <c r="AF68" s="95" t="str">
        <f t="shared" si="104"/>
        <v/>
      </c>
      <c r="AG68" s="95" t="str">
        <f t="shared" si="104"/>
        <v/>
      </c>
      <c r="AH68" s="88"/>
      <c r="AI68" s="88"/>
      <c r="AJ68" s="88"/>
      <c r="AK68" s="88"/>
      <c r="AL68" s="88"/>
      <c r="AM68" s="88"/>
    </row>
    <row r="69">
      <c r="A69" s="88"/>
      <c r="B69" s="88" t="str">
        <f t="shared" si="77"/>
        <v>Additional Land</v>
      </c>
      <c r="C69" s="88" t="str">
        <f t="shared" si="87"/>
        <v/>
      </c>
      <c r="D69" s="88"/>
      <c r="E69" s="144">
        <f t="shared" ref="E69:AG69" si="105">E35</f>
        <v>1000000</v>
      </c>
      <c r="F69" s="95" t="str">
        <f t="shared" si="105"/>
        <v/>
      </c>
      <c r="G69" s="95" t="str">
        <f t="shared" si="105"/>
        <v/>
      </c>
      <c r="H69" s="95" t="str">
        <f t="shared" si="105"/>
        <v/>
      </c>
      <c r="I69" s="95" t="str">
        <f t="shared" si="105"/>
        <v/>
      </c>
      <c r="J69" s="95" t="str">
        <f t="shared" si="105"/>
        <v/>
      </c>
      <c r="K69" s="95" t="str">
        <f t="shared" si="105"/>
        <v/>
      </c>
      <c r="L69" s="95">
        <f t="shared" si="105"/>
        <v>1000000</v>
      </c>
      <c r="M69" s="95" t="str">
        <f t="shared" si="105"/>
        <v/>
      </c>
      <c r="N69" s="95" t="str">
        <f t="shared" si="105"/>
        <v/>
      </c>
      <c r="O69" s="95" t="str">
        <f t="shared" si="105"/>
        <v/>
      </c>
      <c r="P69" s="95" t="str">
        <f t="shared" si="105"/>
        <v/>
      </c>
      <c r="Q69" s="95" t="str">
        <f t="shared" si="105"/>
        <v/>
      </c>
      <c r="R69" s="95" t="str">
        <f t="shared" si="105"/>
        <v/>
      </c>
      <c r="S69" s="95" t="str">
        <f t="shared" si="105"/>
        <v/>
      </c>
      <c r="T69" s="95" t="str">
        <f t="shared" si="105"/>
        <v/>
      </c>
      <c r="U69" s="95" t="str">
        <f t="shared" si="105"/>
        <v/>
      </c>
      <c r="V69" s="95" t="str">
        <f t="shared" si="105"/>
        <v/>
      </c>
      <c r="W69" s="95" t="str">
        <f t="shared" si="105"/>
        <v/>
      </c>
      <c r="X69" s="95" t="str">
        <f t="shared" si="105"/>
        <v/>
      </c>
      <c r="Y69" s="95" t="str">
        <f t="shared" si="105"/>
        <v/>
      </c>
      <c r="Z69" s="95" t="str">
        <f t="shared" si="105"/>
        <v/>
      </c>
      <c r="AA69" s="95" t="str">
        <f t="shared" si="105"/>
        <v/>
      </c>
      <c r="AB69" s="95" t="str">
        <f t="shared" si="105"/>
        <v/>
      </c>
      <c r="AC69" s="95" t="str">
        <f t="shared" si="105"/>
        <v/>
      </c>
      <c r="AD69" s="95" t="str">
        <f t="shared" si="105"/>
        <v/>
      </c>
      <c r="AE69" s="95" t="str">
        <f t="shared" si="105"/>
        <v/>
      </c>
      <c r="AF69" s="95" t="str">
        <f t="shared" si="105"/>
        <v/>
      </c>
      <c r="AG69" s="95" t="str">
        <f t="shared" si="105"/>
        <v/>
      </c>
      <c r="AH69" s="88"/>
      <c r="AI69" s="88"/>
      <c r="AJ69" s="88"/>
      <c r="AK69" s="88"/>
      <c r="AL69" s="88"/>
      <c r="AM69" s="88"/>
    </row>
    <row r="70">
      <c r="A70" s="88"/>
      <c r="B70" s="88" t="str">
        <f t="shared" si="77"/>
        <v>Grid Connection</v>
      </c>
      <c r="C70" s="88" t="str">
        <f t="shared" si="87"/>
        <v/>
      </c>
      <c r="D70" s="88"/>
      <c r="E70" s="144" t="str">
        <f t="shared" ref="E70:AG70" si="106">E36</f>
        <v>incl</v>
      </c>
      <c r="F70" s="88" t="str">
        <f t="shared" si="106"/>
        <v/>
      </c>
      <c r="G70" s="95" t="str">
        <f t="shared" si="106"/>
        <v/>
      </c>
      <c r="H70" s="95" t="str">
        <f t="shared" si="106"/>
        <v/>
      </c>
      <c r="I70" s="95" t="str">
        <f t="shared" si="106"/>
        <v/>
      </c>
      <c r="J70" s="95" t="str">
        <f t="shared" si="106"/>
        <v/>
      </c>
      <c r="K70" s="95" t="str">
        <f t="shared" si="106"/>
        <v/>
      </c>
      <c r="L70" s="95" t="str">
        <f t="shared" si="106"/>
        <v>incl</v>
      </c>
      <c r="M70" s="95" t="str">
        <f t="shared" si="106"/>
        <v/>
      </c>
      <c r="N70" s="95" t="str">
        <f t="shared" si="106"/>
        <v/>
      </c>
      <c r="O70" s="95" t="str">
        <f t="shared" si="106"/>
        <v/>
      </c>
      <c r="P70" s="95" t="str">
        <f t="shared" si="106"/>
        <v/>
      </c>
      <c r="Q70" s="95" t="str">
        <f t="shared" si="106"/>
        <v/>
      </c>
      <c r="R70" s="95" t="str">
        <f t="shared" si="106"/>
        <v/>
      </c>
      <c r="S70" s="95" t="str">
        <f t="shared" si="106"/>
        <v/>
      </c>
      <c r="T70" s="95" t="str">
        <f t="shared" si="106"/>
        <v/>
      </c>
      <c r="U70" s="95" t="str">
        <f t="shared" si="106"/>
        <v/>
      </c>
      <c r="V70" s="95" t="str">
        <f t="shared" si="106"/>
        <v/>
      </c>
      <c r="W70" s="95" t="str">
        <f t="shared" si="106"/>
        <v/>
      </c>
      <c r="X70" s="95" t="str">
        <f t="shared" si="106"/>
        <v/>
      </c>
      <c r="Y70" s="95" t="str">
        <f t="shared" si="106"/>
        <v/>
      </c>
      <c r="Z70" s="95" t="str">
        <f t="shared" si="106"/>
        <v/>
      </c>
      <c r="AA70" s="95" t="str">
        <f t="shared" si="106"/>
        <v/>
      </c>
      <c r="AB70" s="95" t="str">
        <f t="shared" si="106"/>
        <v/>
      </c>
      <c r="AC70" s="95" t="str">
        <f t="shared" si="106"/>
        <v/>
      </c>
      <c r="AD70" s="95" t="str">
        <f t="shared" si="106"/>
        <v/>
      </c>
      <c r="AE70" s="95" t="str">
        <f t="shared" si="106"/>
        <v/>
      </c>
      <c r="AF70" s="95" t="str">
        <f t="shared" si="106"/>
        <v/>
      </c>
      <c r="AG70" s="95" t="str">
        <f t="shared" si="106"/>
        <v/>
      </c>
      <c r="AH70" s="88"/>
      <c r="AI70" s="88"/>
      <c r="AJ70" s="88"/>
      <c r="AK70" s="88"/>
      <c r="AL70" s="88"/>
      <c r="AM70" s="88"/>
    </row>
    <row r="71">
      <c r="A71" s="88"/>
      <c r="B71" s="88" t="str">
        <f t="shared" si="77"/>
        <v>Stamp Duty &amp; Fees (10%)</v>
      </c>
      <c r="C71" s="88" t="str">
        <f t="shared" si="87"/>
        <v/>
      </c>
      <c r="D71" s="88"/>
      <c r="E71" s="144">
        <f t="shared" ref="E71:AG71" si="107">E37</f>
        <v>21500000</v>
      </c>
      <c r="F71" s="88" t="str">
        <f t="shared" si="107"/>
        <v/>
      </c>
      <c r="G71" s="88">
        <f t="shared" si="107"/>
        <v>6</v>
      </c>
      <c r="H71" s="95" t="str">
        <f t="shared" si="107"/>
        <v/>
      </c>
      <c r="I71" s="95" t="str">
        <f t="shared" si="107"/>
        <v/>
      </c>
      <c r="J71" s="95" t="str">
        <f t="shared" si="107"/>
        <v/>
      </c>
      <c r="K71" s="95" t="str">
        <f t="shared" si="107"/>
        <v/>
      </c>
      <c r="L71" s="95">
        <f t="shared" si="107"/>
        <v>3583333.333</v>
      </c>
      <c r="M71" s="95">
        <f t="shared" si="107"/>
        <v>3583333.333</v>
      </c>
      <c r="N71" s="95">
        <f t="shared" si="107"/>
        <v>3583333.333</v>
      </c>
      <c r="O71" s="95">
        <f t="shared" si="107"/>
        <v>3583333.333</v>
      </c>
      <c r="P71" s="95">
        <f t="shared" si="107"/>
        <v>3583333.333</v>
      </c>
      <c r="Q71" s="95">
        <f t="shared" si="107"/>
        <v>3583333.333</v>
      </c>
      <c r="R71" s="95" t="str">
        <f t="shared" si="107"/>
        <v/>
      </c>
      <c r="S71" s="95" t="str">
        <f t="shared" si="107"/>
        <v/>
      </c>
      <c r="T71" s="95" t="str">
        <f t="shared" si="107"/>
        <v/>
      </c>
      <c r="U71" s="95" t="str">
        <f t="shared" si="107"/>
        <v/>
      </c>
      <c r="V71" s="95" t="str">
        <f t="shared" si="107"/>
        <v/>
      </c>
      <c r="W71" s="95" t="str">
        <f t="shared" si="107"/>
        <v/>
      </c>
      <c r="X71" s="95" t="str">
        <f t="shared" si="107"/>
        <v/>
      </c>
      <c r="Y71" s="95" t="str">
        <f t="shared" si="107"/>
        <v/>
      </c>
      <c r="Z71" s="95" t="str">
        <f t="shared" si="107"/>
        <v/>
      </c>
      <c r="AA71" s="95" t="str">
        <f t="shared" si="107"/>
        <v/>
      </c>
      <c r="AB71" s="95" t="str">
        <f t="shared" si="107"/>
        <v/>
      </c>
      <c r="AC71" s="95" t="str">
        <f t="shared" si="107"/>
        <v/>
      </c>
      <c r="AD71" s="95" t="str">
        <f t="shared" si="107"/>
        <v/>
      </c>
      <c r="AE71" s="95" t="str">
        <f t="shared" si="107"/>
        <v/>
      </c>
      <c r="AF71" s="95" t="str">
        <f t="shared" si="107"/>
        <v/>
      </c>
      <c r="AG71" s="95" t="str">
        <f t="shared" si="107"/>
        <v/>
      </c>
      <c r="AH71" s="88"/>
      <c r="AI71" s="88"/>
      <c r="AJ71" s="88"/>
      <c r="AK71" s="88"/>
      <c r="AL71" s="88"/>
      <c r="AM71" s="88"/>
    </row>
    <row r="72">
      <c r="A72" s="88"/>
      <c r="B72" s="88" t="str">
        <f t="shared" si="77"/>
        <v/>
      </c>
      <c r="C72" s="88" t="str">
        <f t="shared" si="87"/>
        <v/>
      </c>
      <c r="D72" s="88"/>
      <c r="E72" s="144" t="str">
        <f t="shared" ref="E72:AG72" si="108">E38</f>
        <v/>
      </c>
      <c r="F72" s="88" t="str">
        <f t="shared" si="108"/>
        <v/>
      </c>
      <c r="G72" s="95" t="str">
        <f t="shared" si="108"/>
        <v/>
      </c>
      <c r="H72" s="95" t="str">
        <f t="shared" si="108"/>
        <v/>
      </c>
      <c r="I72" s="95" t="str">
        <f t="shared" si="108"/>
        <v/>
      </c>
      <c r="J72" s="95" t="str">
        <f t="shared" si="108"/>
        <v/>
      </c>
      <c r="K72" s="95" t="str">
        <f t="shared" si="108"/>
        <v/>
      </c>
      <c r="L72" s="95" t="str">
        <f t="shared" si="108"/>
        <v/>
      </c>
      <c r="M72" s="95" t="str">
        <f t="shared" si="108"/>
        <v/>
      </c>
      <c r="N72" s="95" t="str">
        <f t="shared" si="108"/>
        <v/>
      </c>
      <c r="O72" s="95" t="str">
        <f t="shared" si="108"/>
        <v/>
      </c>
      <c r="P72" s="95" t="str">
        <f t="shared" si="108"/>
        <v/>
      </c>
      <c r="Q72" s="95" t="str">
        <f t="shared" si="108"/>
        <v/>
      </c>
      <c r="R72" s="95" t="str">
        <f t="shared" si="108"/>
        <v/>
      </c>
      <c r="S72" s="95" t="str">
        <f t="shared" si="108"/>
        <v/>
      </c>
      <c r="T72" s="95" t="str">
        <f t="shared" si="108"/>
        <v/>
      </c>
      <c r="U72" s="95" t="str">
        <f t="shared" si="108"/>
        <v/>
      </c>
      <c r="V72" s="95" t="str">
        <f t="shared" si="108"/>
        <v/>
      </c>
      <c r="W72" s="95" t="str">
        <f t="shared" si="108"/>
        <v/>
      </c>
      <c r="X72" s="95" t="str">
        <f t="shared" si="108"/>
        <v/>
      </c>
      <c r="Y72" s="95" t="str">
        <f t="shared" si="108"/>
        <v/>
      </c>
      <c r="Z72" s="95" t="str">
        <f t="shared" si="108"/>
        <v/>
      </c>
      <c r="AA72" s="95" t="str">
        <f t="shared" si="108"/>
        <v/>
      </c>
      <c r="AB72" s="95" t="str">
        <f t="shared" si="108"/>
        <v/>
      </c>
      <c r="AC72" s="95" t="str">
        <f t="shared" si="108"/>
        <v/>
      </c>
      <c r="AD72" s="95" t="str">
        <f t="shared" si="108"/>
        <v/>
      </c>
      <c r="AE72" s="95" t="str">
        <f t="shared" si="108"/>
        <v/>
      </c>
      <c r="AF72" s="95" t="str">
        <f t="shared" si="108"/>
        <v/>
      </c>
      <c r="AG72" s="95" t="str">
        <f t="shared" si="108"/>
        <v/>
      </c>
      <c r="AH72" s="88"/>
      <c r="AI72" s="88"/>
      <c r="AJ72" s="88"/>
      <c r="AK72" s="88"/>
      <c r="AL72" s="88"/>
      <c r="AM72" s="88"/>
    </row>
    <row r="73">
      <c r="A73" s="146"/>
      <c r="B73" s="146" t="str">
        <f t="shared" si="77"/>
        <v>Cumulative Costs</v>
      </c>
      <c r="C73" s="146" t="str">
        <f t="shared" si="87"/>
        <v/>
      </c>
      <c r="D73" s="146"/>
      <c r="E73" s="146" t="str">
        <f t="shared" ref="E73:AG73" si="109">E39</f>
        <v/>
      </c>
      <c r="F73" s="146" t="str">
        <f t="shared" si="109"/>
        <v/>
      </c>
      <c r="G73" s="139" t="str">
        <f t="shared" si="109"/>
        <v/>
      </c>
      <c r="H73" s="139" t="str">
        <f t="shared" si="109"/>
        <v/>
      </c>
      <c r="I73" s="139">
        <f t="shared" si="109"/>
        <v>1204430.006</v>
      </c>
      <c r="J73" s="139">
        <f t="shared" si="109"/>
        <v>2408860.013</v>
      </c>
      <c r="K73" s="139">
        <f t="shared" si="109"/>
        <v>3613290.019</v>
      </c>
      <c r="L73" s="139">
        <f t="shared" si="109"/>
        <v>138877399</v>
      </c>
      <c r="M73" s="139">
        <f t="shared" si="109"/>
        <v>153141507.9</v>
      </c>
      <c r="N73" s="139">
        <f t="shared" si="109"/>
        <v>167405616.8</v>
      </c>
      <c r="O73" s="139">
        <f t="shared" si="109"/>
        <v>181669725.8</v>
      </c>
      <c r="P73" s="139">
        <f t="shared" si="109"/>
        <v>195933834.7</v>
      </c>
      <c r="Q73" s="139">
        <f t="shared" si="109"/>
        <v>210197943.7</v>
      </c>
      <c r="R73" s="139">
        <f t="shared" si="109"/>
        <v>274354823.9</v>
      </c>
      <c r="S73" s="139">
        <f t="shared" si="109"/>
        <v>338511704</v>
      </c>
      <c r="T73" s="139">
        <f t="shared" si="109"/>
        <v>395186585.9</v>
      </c>
      <c r="U73" s="139">
        <f t="shared" si="109"/>
        <v>452162249</v>
      </c>
      <c r="V73" s="139">
        <f t="shared" si="109"/>
        <v>509531358.7</v>
      </c>
      <c r="W73" s="139">
        <f t="shared" si="109"/>
        <v>566900468.3</v>
      </c>
      <c r="X73" s="139">
        <f t="shared" si="109"/>
        <v>624269578</v>
      </c>
      <c r="Y73" s="139">
        <f t="shared" si="109"/>
        <v>683601461.6</v>
      </c>
      <c r="Z73" s="139">
        <f t="shared" si="109"/>
        <v>742933345.2</v>
      </c>
      <c r="AA73" s="139">
        <f t="shared" si="109"/>
        <v>802265228.8</v>
      </c>
      <c r="AB73" s="139">
        <f t="shared" si="109"/>
        <v>861597112.4</v>
      </c>
      <c r="AC73" s="139">
        <f t="shared" si="109"/>
        <v>902988162.9</v>
      </c>
      <c r="AD73" s="139">
        <f t="shared" si="109"/>
        <v>930171979.3</v>
      </c>
      <c r="AE73" s="146" t="str">
        <f t="shared" si="109"/>
        <v/>
      </c>
      <c r="AF73" s="139">
        <f t="shared" si="109"/>
        <v>949516356.8</v>
      </c>
      <c r="AG73" s="139">
        <f t="shared" si="109"/>
        <v>968860734.4</v>
      </c>
      <c r="AH73" s="146"/>
      <c r="AI73" s="146"/>
      <c r="AJ73" s="146"/>
      <c r="AK73" s="146"/>
      <c r="AL73" s="146"/>
      <c r="AM73" s="146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</row>
    <row r="75">
      <c r="A75" s="146"/>
      <c r="B75" s="148" t="s">
        <v>298</v>
      </c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</row>
    <row r="76">
      <c r="A76" s="88"/>
      <c r="B76" s="88" t="str">
        <f>Model!B20</f>
        <v>Repairs</v>
      </c>
      <c r="D76" s="88"/>
      <c r="E76" s="144">
        <f>Model!C20</f>
        <v>20000000</v>
      </c>
      <c r="F76" s="88"/>
      <c r="G76" s="88"/>
      <c r="H76" s="88"/>
      <c r="I76" s="88"/>
      <c r="J76" s="88"/>
      <c r="K76" s="88"/>
      <c r="L76" s="144">
        <f t="shared" ref="L76:L77" si="110">E76</f>
        <v>20000000</v>
      </c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</row>
    <row r="77">
      <c r="A77" s="88"/>
      <c r="B77" s="88" t="str">
        <f>Model!B21</f>
        <v>GPUs</v>
      </c>
      <c r="D77" s="88"/>
      <c r="E77" s="144">
        <f>Model!C21</f>
        <v>10256410.26</v>
      </c>
      <c r="F77" s="88"/>
      <c r="G77" s="88"/>
      <c r="H77" s="88"/>
      <c r="I77" s="88"/>
      <c r="J77" s="88"/>
      <c r="K77" s="88"/>
      <c r="L77" s="144">
        <f t="shared" si="110"/>
        <v>10256410.26</v>
      </c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</row>
    <row r="100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  <c r="AC1001" s="88"/>
      <c r="AD1001" s="88"/>
      <c r="AE1001" s="88"/>
      <c r="AF1001" s="88"/>
      <c r="AG1001" s="88"/>
      <c r="AH1001" s="88"/>
      <c r="AI1001" s="88"/>
      <c r="AJ1001" s="88"/>
      <c r="AK1001" s="88"/>
      <c r="AL1001" s="88"/>
      <c r="AM1001" s="88"/>
    </row>
    <row r="1002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  <c r="AA1002" s="88"/>
      <c r="AB1002" s="88"/>
      <c r="AC1002" s="88"/>
      <c r="AD1002" s="88"/>
      <c r="AE1002" s="88"/>
      <c r="AF1002" s="88"/>
      <c r="AG1002" s="88"/>
      <c r="AH1002" s="88"/>
      <c r="AI1002" s="88"/>
      <c r="AJ1002" s="88"/>
      <c r="AK1002" s="88"/>
      <c r="AL1002" s="88"/>
      <c r="AM1002" s="88"/>
    </row>
    <row r="1003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  <c r="AA1003" s="88"/>
      <c r="AB1003" s="88"/>
      <c r="AC1003" s="88"/>
      <c r="AD1003" s="88"/>
      <c r="AE1003" s="88"/>
      <c r="AF1003" s="88"/>
      <c r="AG1003" s="88"/>
      <c r="AH1003" s="88"/>
      <c r="AI1003" s="88"/>
      <c r="AJ1003" s="88"/>
      <c r="AK1003" s="88"/>
      <c r="AL1003" s="88"/>
      <c r="AM1003" s="88"/>
    </row>
    <row r="1004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  <c r="AA1004" s="88"/>
      <c r="AB1004" s="88"/>
      <c r="AC1004" s="88"/>
      <c r="AD1004" s="88"/>
      <c r="AE1004" s="88"/>
      <c r="AF1004" s="88"/>
      <c r="AG1004" s="88"/>
      <c r="AH1004" s="88"/>
      <c r="AI1004" s="88"/>
      <c r="AJ1004" s="88"/>
      <c r="AK1004" s="88"/>
      <c r="AL1004" s="88"/>
      <c r="AM1004" s="88"/>
    </row>
    <row r="100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  <c r="AA1005" s="88"/>
      <c r="AB1005" s="88"/>
      <c r="AC1005" s="88"/>
      <c r="AD1005" s="88"/>
      <c r="AE1005" s="88"/>
      <c r="AF1005" s="88"/>
      <c r="AG1005" s="88"/>
      <c r="AH1005" s="88"/>
      <c r="AI1005" s="88"/>
      <c r="AJ1005" s="88"/>
      <c r="AK1005" s="88"/>
      <c r="AL1005" s="88"/>
      <c r="AM1005" s="88"/>
    </row>
    <row r="1006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  <c r="AA1006" s="88"/>
      <c r="AB1006" s="88"/>
      <c r="AC1006" s="88"/>
      <c r="AD1006" s="88"/>
      <c r="AE1006" s="88"/>
      <c r="AF1006" s="88"/>
      <c r="AG1006" s="88"/>
      <c r="AH1006" s="88"/>
      <c r="AI1006" s="88"/>
      <c r="AJ1006" s="88"/>
      <c r="AK1006" s="88"/>
      <c r="AL1006" s="88"/>
      <c r="AM1006" s="88"/>
    </row>
    <row r="1007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  <c r="AA1007" s="88"/>
      <c r="AB1007" s="88"/>
      <c r="AC1007" s="88"/>
      <c r="AD1007" s="88"/>
      <c r="AE1007" s="88"/>
      <c r="AF1007" s="88"/>
      <c r="AG1007" s="88"/>
      <c r="AH1007" s="88"/>
      <c r="AI1007" s="88"/>
      <c r="AJ1007" s="88"/>
      <c r="AK1007" s="88"/>
      <c r="AL1007" s="88"/>
      <c r="AM1007" s="88"/>
    </row>
    <row r="1008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  <c r="AA1008" s="88"/>
      <c r="AB1008" s="88"/>
      <c r="AC1008" s="88"/>
      <c r="AD1008" s="88"/>
      <c r="AE1008" s="88"/>
      <c r="AF1008" s="88"/>
      <c r="AG1008" s="88"/>
      <c r="AH1008" s="88"/>
      <c r="AI1008" s="88"/>
      <c r="AJ1008" s="88"/>
      <c r="AK1008" s="88"/>
      <c r="AL1008" s="88"/>
      <c r="AM1008" s="88"/>
    </row>
    <row r="1009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  <c r="AA1009" s="88"/>
      <c r="AB1009" s="88"/>
      <c r="AC1009" s="88"/>
      <c r="AD1009" s="88"/>
      <c r="AE1009" s="88"/>
      <c r="AF1009" s="88"/>
      <c r="AG1009" s="88"/>
      <c r="AH1009" s="88"/>
      <c r="AI1009" s="88"/>
      <c r="AJ1009" s="88"/>
      <c r="AK1009" s="88"/>
      <c r="AL1009" s="88"/>
      <c r="AM1009" s="88"/>
    </row>
    <row r="1010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  <c r="AA1010" s="88"/>
      <c r="AB1010" s="88"/>
      <c r="AC1010" s="88"/>
      <c r="AD1010" s="88"/>
      <c r="AE1010" s="88"/>
      <c r="AF1010" s="88"/>
      <c r="AG1010" s="88"/>
      <c r="AH1010" s="88"/>
      <c r="AI1010" s="88"/>
      <c r="AJ1010" s="88"/>
      <c r="AK1010" s="88"/>
      <c r="AL1010" s="88"/>
      <c r="AM1010" s="88"/>
    </row>
    <row r="1011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  <c r="AA1011" s="88"/>
      <c r="AB1011" s="88"/>
      <c r="AC1011" s="88"/>
      <c r="AD1011" s="88"/>
      <c r="AE1011" s="88"/>
      <c r="AF1011" s="88"/>
      <c r="AG1011" s="88"/>
      <c r="AH1011" s="88"/>
      <c r="AI1011" s="88"/>
      <c r="AJ1011" s="88"/>
      <c r="AK1011" s="88"/>
      <c r="AL1011" s="88"/>
      <c r="AM1011" s="88"/>
    </row>
    <row r="1012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  <c r="AA1012" s="88"/>
      <c r="AB1012" s="88"/>
      <c r="AC1012" s="88"/>
      <c r="AD1012" s="88"/>
      <c r="AE1012" s="88"/>
      <c r="AF1012" s="88"/>
      <c r="AG1012" s="88"/>
      <c r="AH1012" s="88"/>
      <c r="AI1012" s="88"/>
      <c r="AJ1012" s="88"/>
      <c r="AK1012" s="88"/>
      <c r="AL1012" s="88"/>
      <c r="AM1012" s="88"/>
    </row>
    <row r="1013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  <c r="AA1013" s="88"/>
      <c r="AB1013" s="88"/>
      <c r="AC1013" s="88"/>
      <c r="AD1013" s="88"/>
      <c r="AE1013" s="88"/>
      <c r="AF1013" s="88"/>
      <c r="AG1013" s="88"/>
      <c r="AH1013" s="88"/>
      <c r="AI1013" s="88"/>
      <c r="AJ1013" s="88"/>
      <c r="AK1013" s="88"/>
      <c r="AL1013" s="88"/>
      <c r="AM1013" s="88"/>
    </row>
    <row r="1014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  <c r="AA1014" s="88"/>
      <c r="AB1014" s="88"/>
      <c r="AC1014" s="88"/>
      <c r="AD1014" s="88"/>
      <c r="AE1014" s="88"/>
      <c r="AF1014" s="88"/>
      <c r="AG1014" s="88"/>
      <c r="AH1014" s="88"/>
      <c r="AI1014" s="88"/>
      <c r="AJ1014" s="88"/>
      <c r="AK1014" s="88"/>
      <c r="AL1014" s="88"/>
      <c r="AM1014" s="88"/>
    </row>
    <row r="101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  <c r="AA1015" s="88"/>
      <c r="AB1015" s="88"/>
      <c r="AC1015" s="88"/>
      <c r="AD1015" s="88"/>
      <c r="AE1015" s="88"/>
      <c r="AF1015" s="88"/>
      <c r="AG1015" s="88"/>
      <c r="AH1015" s="88"/>
      <c r="AI1015" s="88"/>
      <c r="AJ1015" s="88"/>
      <c r="AK1015" s="88"/>
      <c r="AL1015" s="88"/>
      <c r="AM1015" s="88"/>
    </row>
  </sheetData>
  <mergeCells count="3">
    <mergeCell ref="I5:K5"/>
    <mergeCell ref="L5:Q5"/>
    <mergeCell ref="R5:AC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.88"/>
    <col customWidth="1" min="5" max="5" width="10.13"/>
    <col customWidth="1" min="6" max="20" width="7.88"/>
  </cols>
  <sheetData>
    <row r="3">
      <c r="A3" s="75" t="s">
        <v>7</v>
      </c>
      <c r="B3" s="75" t="s">
        <v>299</v>
      </c>
      <c r="E3" s="172" t="s">
        <v>300</v>
      </c>
      <c r="F3" s="173" t="s">
        <v>301</v>
      </c>
      <c r="G3" s="173" t="s">
        <v>302</v>
      </c>
      <c r="H3" s="173" t="s">
        <v>303</v>
      </c>
      <c r="I3" s="173" t="s">
        <v>304</v>
      </c>
      <c r="J3" s="173" t="s">
        <v>305</v>
      </c>
      <c r="K3" s="173" t="s">
        <v>306</v>
      </c>
      <c r="L3" s="173" t="s">
        <v>307</v>
      </c>
      <c r="M3" s="173" t="s">
        <v>308</v>
      </c>
      <c r="N3" s="173" t="s">
        <v>309</v>
      </c>
      <c r="O3" s="173" t="s">
        <v>310</v>
      </c>
      <c r="P3" s="173" t="s">
        <v>311</v>
      </c>
      <c r="Q3" s="173" t="s">
        <v>312</v>
      </c>
      <c r="R3" s="173" t="s">
        <v>313</v>
      </c>
      <c r="S3" s="173" t="s">
        <v>314</v>
      </c>
      <c r="T3" s="173" t="s">
        <v>315</v>
      </c>
    </row>
    <row r="4">
      <c r="A4" s="174">
        <v>0.02</v>
      </c>
      <c r="B4" s="75"/>
      <c r="C4" s="75"/>
      <c r="D4" s="75" t="s">
        <v>316</v>
      </c>
      <c r="E4" s="77">
        <v>10800.0</v>
      </c>
      <c r="F4" s="78">
        <f t="shared" ref="F4:T4" si="1">E4*(1+$A4)</f>
        <v>11016</v>
      </c>
      <c r="G4" s="78">
        <f t="shared" si="1"/>
        <v>11236.32</v>
      </c>
      <c r="H4" s="78">
        <f t="shared" si="1"/>
        <v>11461.0464</v>
      </c>
      <c r="I4" s="78">
        <f t="shared" si="1"/>
        <v>11690.26733</v>
      </c>
      <c r="J4" s="78">
        <f t="shared" si="1"/>
        <v>11924.07267</v>
      </c>
      <c r="K4" s="78">
        <f t="shared" si="1"/>
        <v>12162.55413</v>
      </c>
      <c r="L4" s="78">
        <f t="shared" si="1"/>
        <v>12405.80521</v>
      </c>
      <c r="M4" s="78">
        <f t="shared" si="1"/>
        <v>12653.92131</v>
      </c>
      <c r="N4" s="78">
        <f t="shared" si="1"/>
        <v>12906.99974</v>
      </c>
      <c r="O4" s="78">
        <f t="shared" si="1"/>
        <v>13165.13974</v>
      </c>
      <c r="P4" s="78">
        <f t="shared" si="1"/>
        <v>13428.44253</v>
      </c>
      <c r="Q4" s="78">
        <f t="shared" si="1"/>
        <v>13697.01138</v>
      </c>
      <c r="R4" s="78">
        <f t="shared" si="1"/>
        <v>13970.95161</v>
      </c>
      <c r="S4" s="78">
        <f t="shared" si="1"/>
        <v>14250.37064</v>
      </c>
      <c r="T4" s="78">
        <f t="shared" si="1"/>
        <v>14535.37805</v>
      </c>
    </row>
    <row r="5">
      <c r="A5" s="174">
        <v>0.03</v>
      </c>
      <c r="B5" s="174">
        <v>0.25</v>
      </c>
      <c r="C5" s="75"/>
      <c r="D5" s="75" t="s">
        <v>259</v>
      </c>
      <c r="E5" s="77">
        <f>E4*($B$5)</f>
        <v>2700</v>
      </c>
      <c r="F5" s="77">
        <f t="shared" ref="F5:T5" si="2">E5*(1+$A$5)</f>
        <v>2781</v>
      </c>
      <c r="G5" s="77">
        <f t="shared" si="2"/>
        <v>2864.43</v>
      </c>
      <c r="H5" s="77">
        <f t="shared" si="2"/>
        <v>2950.3629</v>
      </c>
      <c r="I5" s="77">
        <f t="shared" si="2"/>
        <v>3038.873787</v>
      </c>
      <c r="J5" s="77">
        <f t="shared" si="2"/>
        <v>3130.040001</v>
      </c>
      <c r="K5" s="77">
        <f t="shared" si="2"/>
        <v>3223.941201</v>
      </c>
      <c r="L5" s="77">
        <f t="shared" si="2"/>
        <v>3320.659437</v>
      </c>
      <c r="M5" s="77">
        <f t="shared" si="2"/>
        <v>3420.27922</v>
      </c>
      <c r="N5" s="77">
        <f t="shared" si="2"/>
        <v>3522.887596</v>
      </c>
      <c r="O5" s="77">
        <f t="shared" si="2"/>
        <v>3628.574224</v>
      </c>
      <c r="P5" s="77">
        <f t="shared" si="2"/>
        <v>3737.431451</v>
      </c>
      <c r="Q5" s="77">
        <f t="shared" si="2"/>
        <v>3849.554394</v>
      </c>
      <c r="R5" s="77">
        <f t="shared" si="2"/>
        <v>3965.041026</v>
      </c>
      <c r="S5" s="77">
        <f t="shared" si="2"/>
        <v>4083.992257</v>
      </c>
      <c r="T5" s="77">
        <f t="shared" si="2"/>
        <v>4206.512025</v>
      </c>
    </row>
    <row r="6">
      <c r="B6" s="75"/>
      <c r="C6" s="75"/>
      <c r="D6" s="75" t="s">
        <v>317</v>
      </c>
      <c r="E6" s="77">
        <f t="shared" ref="E6:T6" si="3">E4-E5</f>
        <v>8100</v>
      </c>
      <c r="F6" s="77">
        <f t="shared" si="3"/>
        <v>8235</v>
      </c>
      <c r="G6" s="77">
        <f t="shared" si="3"/>
        <v>8371.89</v>
      </c>
      <c r="H6" s="77">
        <f t="shared" si="3"/>
        <v>8510.6835</v>
      </c>
      <c r="I6" s="77">
        <f t="shared" si="3"/>
        <v>8651.393541</v>
      </c>
      <c r="J6" s="77">
        <f t="shared" si="3"/>
        <v>8794.032674</v>
      </c>
      <c r="K6" s="77">
        <f t="shared" si="3"/>
        <v>8938.612927</v>
      </c>
      <c r="L6" s="77">
        <f t="shared" si="3"/>
        <v>9085.145774</v>
      </c>
      <c r="M6" s="77">
        <f t="shared" si="3"/>
        <v>9233.642095</v>
      </c>
      <c r="N6" s="77">
        <f t="shared" si="3"/>
        <v>9384.112145</v>
      </c>
      <c r="O6" s="77">
        <f t="shared" si="3"/>
        <v>9536.565512</v>
      </c>
      <c r="P6" s="77">
        <f t="shared" si="3"/>
        <v>9691.01108</v>
      </c>
      <c r="Q6" s="77">
        <f t="shared" si="3"/>
        <v>9847.456987</v>
      </c>
      <c r="R6" s="77">
        <f t="shared" si="3"/>
        <v>10005.91058</v>
      </c>
      <c r="S6" s="77">
        <f t="shared" si="3"/>
        <v>10166.37838</v>
      </c>
      <c r="T6" s="77">
        <f t="shared" si="3"/>
        <v>10328.86603</v>
      </c>
    </row>
    <row r="8">
      <c r="A8" s="174">
        <v>-0.1</v>
      </c>
      <c r="C8" s="75"/>
      <c r="D8" s="75" t="s">
        <v>249</v>
      </c>
      <c r="F8" s="77">
        <v>21700.0</v>
      </c>
      <c r="G8" s="78">
        <f t="shared" ref="G8:T8" si="4">F8*(1+$A8)</f>
        <v>19530</v>
      </c>
      <c r="H8" s="78">
        <f t="shared" si="4"/>
        <v>17577</v>
      </c>
      <c r="I8" s="78">
        <f t="shared" si="4"/>
        <v>15819.3</v>
      </c>
      <c r="J8" s="78">
        <f t="shared" si="4"/>
        <v>14237.37</v>
      </c>
      <c r="K8" s="78">
        <f t="shared" si="4"/>
        <v>12813.633</v>
      </c>
      <c r="L8" s="78">
        <f t="shared" si="4"/>
        <v>11532.2697</v>
      </c>
      <c r="M8" s="78">
        <f t="shared" si="4"/>
        <v>10379.04273</v>
      </c>
      <c r="N8" s="78">
        <f t="shared" si="4"/>
        <v>9341.138457</v>
      </c>
      <c r="O8" s="78">
        <f t="shared" si="4"/>
        <v>8407.024611</v>
      </c>
      <c r="P8" s="78">
        <f t="shared" si="4"/>
        <v>7566.32215</v>
      </c>
      <c r="Q8" s="78">
        <f t="shared" si="4"/>
        <v>6809.689935</v>
      </c>
      <c r="R8" s="78">
        <f t="shared" si="4"/>
        <v>6128.720942</v>
      </c>
      <c r="S8" s="78">
        <f t="shared" si="4"/>
        <v>5515.848847</v>
      </c>
      <c r="T8" s="78">
        <f t="shared" si="4"/>
        <v>4964.263963</v>
      </c>
    </row>
    <row r="9">
      <c r="A9" s="174">
        <v>0.03</v>
      </c>
      <c r="B9" s="174">
        <v>0.35</v>
      </c>
      <c r="C9" s="75"/>
      <c r="D9" s="75" t="s">
        <v>318</v>
      </c>
      <c r="F9" s="77">
        <f>F8*$B$9</f>
        <v>7595</v>
      </c>
      <c r="G9" s="77">
        <f t="shared" ref="G9:T9" si="5">G8*$B$9*(1+$A$9)</f>
        <v>7040.565</v>
      </c>
      <c r="H9" s="77">
        <f t="shared" si="5"/>
        <v>6336.5085</v>
      </c>
      <c r="I9" s="77">
        <f t="shared" si="5"/>
        <v>5702.85765</v>
      </c>
      <c r="J9" s="77">
        <f t="shared" si="5"/>
        <v>5132.571885</v>
      </c>
      <c r="K9" s="77">
        <f t="shared" si="5"/>
        <v>4619.314697</v>
      </c>
      <c r="L9" s="77">
        <f t="shared" si="5"/>
        <v>4157.383227</v>
      </c>
      <c r="M9" s="77">
        <f t="shared" si="5"/>
        <v>3741.644904</v>
      </c>
      <c r="N9" s="77">
        <f t="shared" si="5"/>
        <v>3367.480414</v>
      </c>
      <c r="O9" s="77">
        <f t="shared" si="5"/>
        <v>3030.732372</v>
      </c>
      <c r="P9" s="77">
        <f t="shared" si="5"/>
        <v>2727.659135</v>
      </c>
      <c r="Q9" s="77">
        <f t="shared" si="5"/>
        <v>2454.893222</v>
      </c>
      <c r="R9" s="77">
        <f t="shared" si="5"/>
        <v>2209.403899</v>
      </c>
      <c r="S9" s="77">
        <f t="shared" si="5"/>
        <v>1988.46351</v>
      </c>
      <c r="T9" s="77">
        <f t="shared" si="5"/>
        <v>1789.617159</v>
      </c>
    </row>
    <row r="10">
      <c r="C10" s="75"/>
      <c r="D10" s="75" t="s">
        <v>317</v>
      </c>
      <c r="E10" s="77"/>
      <c r="F10" s="77">
        <f t="shared" ref="F10:T10" si="6">F8-F9</f>
        <v>14105</v>
      </c>
      <c r="G10" s="77">
        <f t="shared" si="6"/>
        <v>12489.435</v>
      </c>
      <c r="H10" s="77">
        <f t="shared" si="6"/>
        <v>11240.4915</v>
      </c>
      <c r="I10" s="77">
        <f t="shared" si="6"/>
        <v>10116.44235</v>
      </c>
      <c r="J10" s="77">
        <f t="shared" si="6"/>
        <v>9104.798115</v>
      </c>
      <c r="K10" s="77">
        <f t="shared" si="6"/>
        <v>8194.318304</v>
      </c>
      <c r="L10" s="77">
        <f t="shared" si="6"/>
        <v>7374.886473</v>
      </c>
      <c r="M10" s="77">
        <f t="shared" si="6"/>
        <v>6637.397826</v>
      </c>
      <c r="N10" s="77">
        <f t="shared" si="6"/>
        <v>5973.658043</v>
      </c>
      <c r="O10" s="77">
        <f t="shared" si="6"/>
        <v>5376.292239</v>
      </c>
      <c r="P10" s="77">
        <f t="shared" si="6"/>
        <v>4838.663015</v>
      </c>
      <c r="Q10" s="77">
        <f t="shared" si="6"/>
        <v>4354.796714</v>
      </c>
      <c r="R10" s="77">
        <f t="shared" si="6"/>
        <v>3919.317042</v>
      </c>
      <c r="S10" s="77">
        <f t="shared" si="6"/>
        <v>3527.385338</v>
      </c>
      <c r="T10" s="77">
        <f t="shared" si="6"/>
        <v>3174.646804</v>
      </c>
    </row>
    <row r="12">
      <c r="B12" s="75" t="s">
        <v>319</v>
      </c>
      <c r="C12" s="75"/>
      <c r="D12" s="75" t="s">
        <v>316</v>
      </c>
      <c r="E12" s="78">
        <f t="shared" ref="E12:T12" si="7">E4+E8</f>
        <v>10800</v>
      </c>
      <c r="F12" s="78">
        <f t="shared" si="7"/>
        <v>32716</v>
      </c>
      <c r="G12" s="78">
        <f t="shared" si="7"/>
        <v>30766.32</v>
      </c>
      <c r="H12" s="78">
        <f t="shared" si="7"/>
        <v>29038.0464</v>
      </c>
      <c r="I12" s="78">
        <f t="shared" si="7"/>
        <v>27509.56733</v>
      </c>
      <c r="J12" s="78">
        <f t="shared" si="7"/>
        <v>26161.44267</v>
      </c>
      <c r="K12" s="78">
        <f t="shared" si="7"/>
        <v>24976.18713</v>
      </c>
      <c r="L12" s="78">
        <f t="shared" si="7"/>
        <v>23938.07491</v>
      </c>
      <c r="M12" s="78">
        <f t="shared" si="7"/>
        <v>23032.96404</v>
      </c>
      <c r="N12" s="78">
        <f t="shared" si="7"/>
        <v>22248.1382</v>
      </c>
      <c r="O12" s="78">
        <f t="shared" si="7"/>
        <v>21572.16435</v>
      </c>
      <c r="P12" s="78">
        <f t="shared" si="7"/>
        <v>20994.76468</v>
      </c>
      <c r="Q12" s="78">
        <f t="shared" si="7"/>
        <v>20506.70132</v>
      </c>
      <c r="R12" s="78">
        <f t="shared" si="7"/>
        <v>20099.67255</v>
      </c>
      <c r="S12" s="78">
        <f t="shared" si="7"/>
        <v>19766.21949</v>
      </c>
      <c r="T12" s="78">
        <f t="shared" si="7"/>
        <v>19499.64202</v>
      </c>
    </row>
    <row r="13">
      <c r="C13" s="75"/>
      <c r="D13" s="75" t="s">
        <v>259</v>
      </c>
      <c r="E13" s="78">
        <f t="shared" ref="E13:T13" si="8">E5+E9</f>
        <v>2700</v>
      </c>
      <c r="F13" s="78">
        <f t="shared" si="8"/>
        <v>10376</v>
      </c>
      <c r="G13" s="78">
        <f t="shared" si="8"/>
        <v>9904.995</v>
      </c>
      <c r="H13" s="78">
        <f t="shared" si="8"/>
        <v>9286.8714</v>
      </c>
      <c r="I13" s="78">
        <f t="shared" si="8"/>
        <v>8741.731437</v>
      </c>
      <c r="J13" s="78">
        <f t="shared" si="8"/>
        <v>8262.611886</v>
      </c>
      <c r="K13" s="78">
        <f t="shared" si="8"/>
        <v>7843.255897</v>
      </c>
      <c r="L13" s="78">
        <f t="shared" si="8"/>
        <v>7478.042663</v>
      </c>
      <c r="M13" s="78">
        <f t="shared" si="8"/>
        <v>7161.924124</v>
      </c>
      <c r="N13" s="78">
        <f t="shared" si="8"/>
        <v>6890.36801</v>
      </c>
      <c r="O13" s="78">
        <f t="shared" si="8"/>
        <v>6659.306597</v>
      </c>
      <c r="P13" s="78">
        <f t="shared" si="8"/>
        <v>6465.090586</v>
      </c>
      <c r="Q13" s="78">
        <f t="shared" si="8"/>
        <v>6304.447616</v>
      </c>
      <c r="R13" s="78">
        <f t="shared" si="8"/>
        <v>6174.444926</v>
      </c>
      <c r="S13" s="78">
        <f t="shared" si="8"/>
        <v>6072.455767</v>
      </c>
      <c r="T13" s="78">
        <f t="shared" si="8"/>
        <v>5996.129183</v>
      </c>
    </row>
    <row r="14">
      <c r="A14" s="175">
        <v>9.0</v>
      </c>
      <c r="B14" s="176" t="s">
        <v>240</v>
      </c>
      <c r="C14" s="75"/>
      <c r="D14" s="86" t="s">
        <v>317</v>
      </c>
      <c r="E14" s="87">
        <f>E6/12*(A14)</f>
        <v>6075</v>
      </c>
      <c r="F14" s="87">
        <f t="shared" ref="F14:T14" si="9">F6+F10</f>
        <v>22340</v>
      </c>
      <c r="G14" s="87">
        <f t="shared" si="9"/>
        <v>20861.325</v>
      </c>
      <c r="H14" s="87">
        <f t="shared" si="9"/>
        <v>19751.175</v>
      </c>
      <c r="I14" s="87">
        <f t="shared" si="9"/>
        <v>18767.83589</v>
      </c>
      <c r="J14" s="87">
        <f t="shared" si="9"/>
        <v>17898.83079</v>
      </c>
      <c r="K14" s="87">
        <f t="shared" si="9"/>
        <v>17132.93123</v>
      </c>
      <c r="L14" s="87">
        <f t="shared" si="9"/>
        <v>16460.03225</v>
      </c>
      <c r="M14" s="87">
        <f t="shared" si="9"/>
        <v>15871.03992</v>
      </c>
      <c r="N14" s="87">
        <f t="shared" si="9"/>
        <v>15357.77019</v>
      </c>
      <c r="O14" s="87">
        <f t="shared" si="9"/>
        <v>14912.85775</v>
      </c>
      <c r="P14" s="87">
        <f t="shared" si="9"/>
        <v>14529.67409</v>
      </c>
      <c r="Q14" s="87">
        <f t="shared" si="9"/>
        <v>14202.2537</v>
      </c>
      <c r="R14" s="87">
        <f t="shared" si="9"/>
        <v>13925.22762</v>
      </c>
      <c r="S14" s="87">
        <f t="shared" si="9"/>
        <v>13693.76372</v>
      </c>
      <c r="T14" s="87">
        <f t="shared" si="9"/>
        <v>13503.51283</v>
      </c>
    </row>
  </sheetData>
  <drawing r:id="rId2"/>
  <legacyDrawing r:id="rId3"/>
</worksheet>
</file>