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pdate_Parcel_Data\"/>
    </mc:Choice>
  </mc:AlternateContent>
  <xr:revisionPtr revIDLastSave="0" documentId="13_ncr:1_{9555EB5B-8B98-482B-A50B-10FCE39E021E}" xr6:coauthVersionLast="32" xr6:coauthVersionMax="32" xr10:uidLastSave="{00000000-0000-0000-0000-000000000000}"/>
  <bookViews>
    <workbookView xWindow="0" yWindow="0" windowWidth="28800" windowHeight="12312" activeTab="1" xr2:uid="{ECD7BA29-CFEA-41FC-BCC2-5E9CBF904D08}"/>
  </bookViews>
  <sheets>
    <sheet name="Former_Spreadsheet" sheetId="1" r:id="rId1"/>
    <sheet name="Revised_Spreadsheet" sheetId="3" r:id="rId2"/>
    <sheet name="FinalCosts_ByRegion" sheetId="4" r:id="rId3"/>
  </sheets>
  <calcPr calcId="179017"/>
  <pivotCaches>
    <pivotCache cacheId="3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F53" i="1" l="1"/>
  <c r="F52" i="1"/>
  <c r="F51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<sst xmlns="http://schemas.openxmlformats.org/spreadsheetml/2006/main" count="697" uniqueCount="131">
  <si>
    <t>Site</t>
  </si>
  <si>
    <t>County</t>
  </si>
  <si>
    <t>Last_Update</t>
  </si>
  <si>
    <t>Prev Update</t>
  </si>
  <si>
    <t>Compare Fields</t>
  </si>
  <si>
    <t>Has HouseNumber</t>
  </si>
  <si>
    <t>Good PacrelIDs</t>
  </si>
  <si>
    <t>W</t>
  </si>
  <si>
    <t>Andrew County, Missouri</t>
  </si>
  <si>
    <t>2018-Q4</t>
  </si>
  <si>
    <t>2018-Q1</t>
  </si>
  <si>
    <t>Good</t>
  </si>
  <si>
    <t>Yes</t>
  </si>
  <si>
    <t>2019-q1</t>
  </si>
  <si>
    <t>x</t>
  </si>
  <si>
    <t>Barry County, Missouri</t>
  </si>
  <si>
    <t>2014-Q3</t>
  </si>
  <si>
    <t>Same</t>
  </si>
  <si>
    <t>2014-q3</t>
  </si>
  <si>
    <t>Barton County, Missouri</t>
  </si>
  <si>
    <t>2019-Q1</t>
  </si>
  <si>
    <t>Investigate Owner others</t>
  </si>
  <si>
    <t>Not really</t>
  </si>
  <si>
    <t>Bates County, Missouri</t>
  </si>
  <si>
    <t>As good as before, not much info</t>
  </si>
  <si>
    <t>Buchanan County, Missouri</t>
  </si>
  <si>
    <t>E</t>
  </si>
  <si>
    <t>Butler County, Missouri</t>
  </si>
  <si>
    <t>2017-Q1</t>
  </si>
  <si>
    <t>Good - Same</t>
  </si>
  <si>
    <t>2019-q2</t>
  </si>
  <si>
    <t>Carroll, MO</t>
  </si>
  <si>
    <t>Cass County, Missouri</t>
  </si>
  <si>
    <t>Cedar County, Missouri</t>
  </si>
  <si>
    <t>Christian County, Missouri</t>
  </si>
  <si>
    <t>Clay County, Missouri</t>
  </si>
  <si>
    <t>2016-Q3</t>
  </si>
  <si>
    <t>2018-q4</t>
  </si>
  <si>
    <t>Clinton County, Missouri</t>
  </si>
  <si>
    <t>2017-Q3</t>
  </si>
  <si>
    <t>Yes Better formated now</t>
  </si>
  <si>
    <t>Cooper County, Missouri</t>
  </si>
  <si>
    <t>Better</t>
  </si>
  <si>
    <t>Crawford County, Missouri</t>
  </si>
  <si>
    <t>2015-Q2</t>
  </si>
  <si>
    <t>Good - Better</t>
  </si>
  <si>
    <t>Dade County, Missouri</t>
  </si>
  <si>
    <t>New - Ok</t>
  </si>
  <si>
    <t>DeKalb County, Missouri</t>
  </si>
  <si>
    <t>Strretname fields worse?</t>
  </si>
  <si>
    <t>Franklin County, Missouri</t>
  </si>
  <si>
    <t>New - but seems OK</t>
  </si>
  <si>
    <t>Greene County, Missouri</t>
  </si>
  <si>
    <t>2017-Q2</t>
  </si>
  <si>
    <t>GOOD</t>
  </si>
  <si>
    <t>Henry County, Missouri</t>
  </si>
  <si>
    <t>New but seem good</t>
  </si>
  <si>
    <t>Howard County, Missouri</t>
  </si>
  <si>
    <t>OK - same</t>
  </si>
  <si>
    <t>Iron County, Missouri</t>
  </si>
  <si>
    <t>Not updated - Good</t>
  </si>
  <si>
    <t>Jackson County, Missouri</t>
  </si>
  <si>
    <t>Good - same</t>
  </si>
  <si>
    <t>Jasper County, Missouri</t>
  </si>
  <si>
    <t>Jefferson County, Missouri</t>
  </si>
  <si>
    <t>2018-Q3</t>
  </si>
  <si>
    <t>Johnson County, Missouri</t>
  </si>
  <si>
    <t>Lafayette County, Missouri</t>
  </si>
  <si>
    <t>Lawrence County, Missouri</t>
  </si>
  <si>
    <t>Ok - same</t>
  </si>
  <si>
    <t>Lincoln County, Missouri</t>
  </si>
  <si>
    <t>Good - missing zoning now</t>
  </si>
  <si>
    <t>Madison County, Missouri</t>
  </si>
  <si>
    <t>OK - Same</t>
  </si>
  <si>
    <t>McDonald County, Missouri</t>
  </si>
  <si>
    <t>Ok - better</t>
  </si>
  <si>
    <t>Moniteau County, Missouri</t>
  </si>
  <si>
    <t>Newton County, Missouri</t>
  </si>
  <si>
    <t>Pettis County, Missouri</t>
  </si>
  <si>
    <t>2017-Q4</t>
  </si>
  <si>
    <t>yes</t>
  </si>
  <si>
    <t>Platte County, Missouri</t>
  </si>
  <si>
    <t>2016-Q4</t>
  </si>
  <si>
    <t>Ray County, Missouri</t>
  </si>
  <si>
    <t>Saline, MO</t>
  </si>
  <si>
    <t>St. Charles County, Missouri</t>
  </si>
  <si>
    <t>St. Francois County, Missouri</t>
  </si>
  <si>
    <t>Better- Geom Many chaged</t>
  </si>
  <si>
    <t>St. Louis city, Missouri</t>
  </si>
  <si>
    <t>?? Parcel coverage not full</t>
  </si>
  <si>
    <t>St. Louis County, Missouri</t>
  </si>
  <si>
    <t>Yes, not typical but unique</t>
  </si>
  <si>
    <t>Ste. Genevieve County, Missouri</t>
  </si>
  <si>
    <t>2018-Q2</t>
  </si>
  <si>
    <t>Stone County, Missouri</t>
  </si>
  <si>
    <t>Vernon County, Missouri</t>
  </si>
  <si>
    <t>Better - Address field duplicates, Geom Many chaged</t>
  </si>
  <si>
    <t>Warren County, Missouri</t>
  </si>
  <si>
    <t>Washington County, Missouri</t>
  </si>
  <si>
    <t>Good -better</t>
  </si>
  <si>
    <t>Madison County, Illinois</t>
  </si>
  <si>
    <t>poor - Same</t>
  </si>
  <si>
    <t>Monroe County, Illinois</t>
  </si>
  <si>
    <t>Less info now</t>
  </si>
  <si>
    <t>2018-q3</t>
  </si>
  <si>
    <t>St. Clair County, Illinois</t>
  </si>
  <si>
    <t>Slightyl better - geom shift</t>
  </si>
  <si>
    <t>STLP</t>
  </si>
  <si>
    <t>JERSEY, IL</t>
  </si>
  <si>
    <t>New - good</t>
  </si>
  <si>
    <t>MACOUPIN, IL</t>
  </si>
  <si>
    <t>New - ok</t>
  </si>
  <si>
    <t>RANDOLPH, IL</t>
  </si>
  <si>
    <t>Prev</t>
  </si>
  <si>
    <t>latest</t>
  </si>
  <si>
    <t>Never had</t>
  </si>
  <si>
    <t>2019-Q2</t>
  </si>
  <si>
    <t>Cost</t>
  </si>
  <si>
    <t>June2019Review</t>
  </si>
  <si>
    <t>Date_Lupdate</t>
  </si>
  <si>
    <t>Date_Pupdate</t>
  </si>
  <si>
    <t>June2019Review_Date</t>
  </si>
  <si>
    <t>Feb2020Review</t>
  </si>
  <si>
    <t>2020-q1</t>
  </si>
  <si>
    <t>Feb2020Review_Date</t>
  </si>
  <si>
    <t>2019-q3</t>
  </si>
  <si>
    <t>2019-q4</t>
  </si>
  <si>
    <t>2020-1</t>
  </si>
  <si>
    <t>Grand Total</t>
  </si>
  <si>
    <t>Row Labels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</si>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</sst>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9" fontId="0" fillId="0" borderId="0" xfId="1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ont="1" applyFill="1"/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Font="1" applyFill="1"/>
    <xf numFmtId="0" fontId="2" fillId="4" borderId="0" xfId="0" applyFont="1" applyFill="1" applyAlignment="1">
      <alignment horizontal="center"/>
    </xf>
    <xf numFmtId="0" fontId="0" fillId="5" borderId="0" xfId="0" applyFill="1"/>
    <xf numFmtId="6" fontId="0" fillId="0" borderId="0" xfId="0" applyNumberForma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3" fontId="1" fillId="2" borderId="0" xfId="0" applyNumberFormat="1" applyFont="1" applyFill="1"/>
    <xf numFmtId="3" fontId="0" fillId="2" borderId="0" xfId="0" applyNumberFormat="1" applyFont="1" applyFill="1"/>
    <xf numFmtId="0" fontId="0" fillId="5" borderId="0" xfId="0" applyFont="1" applyFill="1"/>
    <xf numFmtId="164" fontId="0" fillId="0" borderId="0" xfId="1" applyNumberFormat="1" applyFont="1"/>
    <xf numFmtId="0" fontId="0" fillId="0" borderId="0" xfId="0" applyFont="1" applyFill="1" applyAlignment="1">
      <alignment horizontal="left"/>
    </xf>
    <xf numFmtId="0" fontId="1" fillId="3" borderId="0" xfId="0" applyFont="1" applyFill="1"/>
    <xf numFmtId="3" fontId="0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 patternType="solid">
          <bgColor rgb="FFFF9999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ano, Robert" refreshedDate="43885.592611458334" createdVersion="6" refreshedVersion="6" minRefreshableVersion="3" recordCount="51" xr:uid="{CA06CF17-03E0-4356-BC56-E465B3A6B60F}">
  <cacheSource type="worksheet">
    <worksheetSource name="Table2"/>
  </cacheSource>
  <cacheFields count="11">
    <cacheField name="Site" numFmtId="0">
      <sharedItems count="3">
        <s v="W"/>
        <s v="E"/>
        <s v="STLP"/>
      </sharedItems>
    </cacheField>
    <cacheField name="County" numFmtId="0">
      <sharedItems/>
    </cacheField>
    <cacheField name="Last_Update" numFmtId="0">
      <sharedItems containsBlank="1"/>
    </cacheField>
    <cacheField name="Prev Update" numFmtId="0">
      <sharedItems containsBlank="1"/>
    </cacheField>
    <cacheField name="Date_Lupdate" numFmtId="14">
      <sharedItems containsDate="1" containsMixedTypes="1" minDate="2014-07-01T00:00:00" maxDate="2019-01-02T00:00:00"/>
    </cacheField>
    <cacheField name="Date_Pupdate" numFmtId="14">
      <sharedItems containsDate="1" containsMixedTypes="1" minDate="2015-04-01T00:00:00" maxDate="2018-07-02T00:00:00"/>
    </cacheField>
    <cacheField name="June2019Review" numFmtId="0">
      <sharedItems/>
    </cacheField>
    <cacheField name="June2019Review_Date" numFmtId="14">
      <sharedItems containsDate="1" containsMixedTypes="1" minDate="2014-07-01T00:00:00" maxDate="2019-04-02T00:00:00"/>
    </cacheField>
    <cacheField name="Feb2020Review" numFmtId="0">
      <sharedItems/>
    </cacheField>
    <cacheField name="Feb2020Review_Date" numFmtId="14">
      <sharedItems containsSemiMixedTypes="0" containsNonDate="0" containsDate="1" containsString="0" minDate="2014-07-01T00:00:00" maxDate="2020-01-02T00:00:00"/>
    </cacheField>
    <cacheField name="Cost" numFmtId="0">
      <sharedItems containsString="0" containsBlank="1" containsNumber="1" containsInteger="1" minValue="150" maxValue="500" count="5">
        <n v="200"/>
        <m/>
        <n v="150"/>
        <n v="300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Andrew County, Missouri"/>
    <s v="2018-Q4"/>
    <s v="2018-Q1"/>
    <d v="2018-10-01T00:00:00"/>
    <d v="2018-01-01T00:00:00"/>
    <s v="2019-q1"/>
    <d v="2019-01-01T00:00:00"/>
    <s v="2020-q1"/>
    <d v="2020-01-01T00:00:00"/>
    <x v="0"/>
  </r>
  <r>
    <x v="0"/>
    <s v="Barry County, Missouri"/>
    <s v="2014-Q3"/>
    <m/>
    <d v="2014-07-01T00:00:00"/>
    <e v="#VALUE!"/>
    <s v="2014-q3"/>
    <d v="2014-07-01T00:00:00"/>
    <s v="2014-q3"/>
    <d v="2014-07-01T00:00:00"/>
    <x v="1"/>
  </r>
  <r>
    <x v="0"/>
    <s v="Barton County, Missouri"/>
    <s v="2019-Q1"/>
    <m/>
    <d v="2019-01-01T00:00:00"/>
    <e v="#VALUE!"/>
    <s v="2019-q1"/>
    <d v="2019-01-01T00:00:00"/>
    <s v="2020-q1"/>
    <d v="2020-01-01T00:00:00"/>
    <x v="0"/>
  </r>
  <r>
    <x v="0"/>
    <s v="Bates County, Missouri"/>
    <s v="2018-Q4"/>
    <s v="2018-Q1"/>
    <d v="2018-10-01T00:00:00"/>
    <d v="2018-01-01T00:00:00"/>
    <s v="2019-q1"/>
    <d v="2019-01-01T00:00:00"/>
    <s v="2020-q1"/>
    <d v="2020-01-01T00:00:00"/>
    <x v="0"/>
  </r>
  <r>
    <x v="0"/>
    <s v="Buchanan County, Missouri"/>
    <s v="2018-Q4"/>
    <s v="2018-Q1"/>
    <d v="2018-10-01T00:00:00"/>
    <d v="2018-01-01T00:00:00"/>
    <s v="2019-q1"/>
    <d v="2019-01-01T00:00:00"/>
    <s v="2020-q1"/>
    <d v="2020-01-01T00:00:00"/>
    <x v="0"/>
  </r>
  <r>
    <x v="1"/>
    <s v="Butler County, Missouri"/>
    <s v="2019-Q1"/>
    <s v="2017-Q1"/>
    <d v="2019-01-01T00:00:00"/>
    <d v="2017-01-01T00:00:00"/>
    <s v="2019-q2"/>
    <d v="2019-04-01T00:00:00"/>
    <s v="2020-q1"/>
    <d v="2020-01-01T00:00:00"/>
    <x v="0"/>
  </r>
  <r>
    <x v="0"/>
    <s v="Carroll, MO"/>
    <m/>
    <m/>
    <e v="#VALUE!"/>
    <e v="#VALUE!"/>
    <s v="2019-q2"/>
    <d v="2019-04-01T00:00:00"/>
    <s v="2019-q2"/>
    <d v="2019-04-01T00:00:00"/>
    <x v="1"/>
  </r>
  <r>
    <x v="0"/>
    <s v="Cass County, Missouri"/>
    <s v="2018-Q4"/>
    <s v="2018-Q1"/>
    <d v="2018-10-01T00:00:00"/>
    <d v="2018-01-01T00:00:00"/>
    <s v="2019-q1"/>
    <d v="2019-01-01T00:00:00"/>
    <s v="2020-q1"/>
    <d v="2020-01-01T00:00:00"/>
    <x v="0"/>
  </r>
  <r>
    <x v="0"/>
    <s v="Cedar County, Missouri"/>
    <s v="2019-Q1"/>
    <s v="2017-Q1"/>
    <d v="2019-01-01T00:00:00"/>
    <d v="2017-01-01T00:00:00"/>
    <s v="2019-q2"/>
    <d v="2019-04-01T00:00:00"/>
    <s v="2020-q1"/>
    <d v="2020-01-01T00:00:00"/>
    <x v="0"/>
  </r>
  <r>
    <x v="0"/>
    <s v="Christian County, Missouri"/>
    <s v="2019-Q1"/>
    <s v="2018-Q1"/>
    <d v="2019-01-01T00:00:00"/>
    <d v="2018-01-01T00:00:00"/>
    <s v="2019-q1"/>
    <d v="2019-01-01T00:00:00"/>
    <s v="2020-q1"/>
    <d v="2020-01-01T00:00:00"/>
    <x v="2"/>
  </r>
  <r>
    <x v="0"/>
    <s v="Clay County, Missouri"/>
    <m/>
    <s v="2016-Q3"/>
    <e v="#VALUE!"/>
    <d v="2016-07-01T00:00:00"/>
    <s v="2018-q4"/>
    <d v="2018-10-01T00:00:00"/>
    <s v="2018-q4"/>
    <d v="2018-10-01T00:00:00"/>
    <x v="1"/>
  </r>
  <r>
    <x v="0"/>
    <s v="Clinton County, Missouri"/>
    <s v="2018-Q4"/>
    <s v="2017-Q3"/>
    <d v="2018-10-01T00:00:00"/>
    <d v="2017-07-01T00:00:00"/>
    <s v="2019-q2"/>
    <d v="2019-04-01T00:00:00"/>
    <s v="2019-q3"/>
    <d v="2019-07-01T00:00:00"/>
    <x v="0"/>
  </r>
  <r>
    <x v="0"/>
    <s v="Cooper County, Missouri"/>
    <s v="2018-Q4"/>
    <s v="2018-Q1"/>
    <d v="2018-10-01T00:00:00"/>
    <d v="2018-01-01T00:00:00"/>
    <s v="2019-q1"/>
    <d v="2019-01-01T00:00:00"/>
    <s v="2020-q1"/>
    <d v="2020-01-01T00:00:00"/>
    <x v="0"/>
  </r>
  <r>
    <x v="1"/>
    <s v="Crawford County, Missouri"/>
    <s v="2019-Q1"/>
    <s v="2015-Q2"/>
    <d v="2019-01-01T00:00:00"/>
    <d v="2015-04-01T00:00:00"/>
    <s v="2019-q2"/>
    <d v="2019-04-01T00:00:00"/>
    <s v="2020-q1"/>
    <d v="2020-01-01T00:00:00"/>
    <x v="0"/>
  </r>
  <r>
    <x v="0"/>
    <s v="Dade County, Missouri"/>
    <s v="2018-Q4"/>
    <m/>
    <d v="2018-10-01T00:00:00"/>
    <e v="#VALUE!"/>
    <s v="2019-q2"/>
    <d v="2019-04-01T00:00:00"/>
    <s v="2020-q1"/>
    <d v="2020-01-01T00:00:00"/>
    <x v="0"/>
  </r>
  <r>
    <x v="0"/>
    <s v="DeKalb County, Missouri"/>
    <s v="2018-Q4"/>
    <s v="2018-Q1"/>
    <d v="2018-10-01T00:00:00"/>
    <d v="2018-01-01T00:00:00"/>
    <s v="2019-q2"/>
    <d v="2019-04-01T00:00:00"/>
    <s v="2020-q1"/>
    <d v="2020-01-01T00:00:00"/>
    <x v="0"/>
  </r>
  <r>
    <x v="1"/>
    <s v="Franklin County, Missouri"/>
    <s v="2019-Q1"/>
    <m/>
    <d v="2019-01-01T00:00:00"/>
    <e v="#VALUE!"/>
    <s v="2019-q1"/>
    <d v="2019-01-01T00:00:00"/>
    <s v="2019-q1"/>
    <d v="2019-01-01T00:00:00"/>
    <x v="1"/>
  </r>
  <r>
    <x v="0"/>
    <s v="Greene County, Missouri"/>
    <s v="2019-Q1"/>
    <s v="2017-Q2"/>
    <d v="2019-01-01T00:00:00"/>
    <d v="2017-04-01T00:00:00"/>
    <s v="2019-q1"/>
    <d v="2019-01-01T00:00:00"/>
    <s v="2019-q4"/>
    <d v="2019-10-01T00:00:00"/>
    <x v="3"/>
  </r>
  <r>
    <x v="0"/>
    <s v="Henry County, Missouri"/>
    <s v="2018-Q4"/>
    <m/>
    <d v="2018-10-01T00:00:00"/>
    <e v="#VALUE!"/>
    <s v="2019-q1"/>
    <d v="2019-01-01T00:00:00"/>
    <s v="2019-q3"/>
    <d v="2019-07-01T00:00:00"/>
    <x v="0"/>
  </r>
  <r>
    <x v="0"/>
    <s v="Howard County, Missouri"/>
    <s v="2018-Q4"/>
    <s v="2018-Q1"/>
    <d v="2018-10-01T00:00:00"/>
    <d v="2018-01-01T00:00:00"/>
    <s v="2019-q2"/>
    <d v="2019-04-01T00:00:00"/>
    <s v="2019-q2"/>
    <d v="2019-04-01T00:00:00"/>
    <x v="1"/>
  </r>
  <r>
    <x v="1"/>
    <s v="Iron County, Missouri"/>
    <m/>
    <s v="2018-Q1"/>
    <e v="#VALUE!"/>
    <d v="2018-01-01T00:00:00"/>
    <s v="2019-q2"/>
    <d v="2019-04-01T00:00:00"/>
    <s v="2020-q1"/>
    <d v="2020-01-01T00:00:00"/>
    <x v="0"/>
  </r>
  <r>
    <x v="0"/>
    <s v="Jackson County, Missouri"/>
    <s v="2018-Q4"/>
    <s v="2018-Q1"/>
    <d v="2018-10-01T00:00:00"/>
    <d v="2018-01-01T00:00:00"/>
    <s v="2018-q4"/>
    <d v="2018-10-01T00:00:00"/>
    <s v="2020-q1"/>
    <d v="2020-01-01T00:00:00"/>
    <x v="4"/>
  </r>
  <r>
    <x v="0"/>
    <s v="Jasper County, Missouri"/>
    <m/>
    <s v="2018-Q1"/>
    <e v="#VALUE!"/>
    <d v="2018-01-01T00:00:00"/>
    <s v="2018-q4"/>
    <d v="2018-10-01T00:00:00"/>
    <s v="2020-q1"/>
    <d v="2020-01-01T00:00:00"/>
    <x v="0"/>
  </r>
  <r>
    <x v="1"/>
    <s v="Jefferson County, Missouri"/>
    <s v="2018-Q3"/>
    <s v="2018-Q1"/>
    <d v="2018-07-01T00:00:00"/>
    <d v="2018-01-01T00:00:00"/>
    <s v="2019-q2"/>
    <d v="2019-04-01T00:00:00"/>
    <s v="2020-q1"/>
    <d v="2020-01-01T00:00:00"/>
    <x v="0"/>
  </r>
  <r>
    <x v="0"/>
    <s v="Johnson County, Missouri"/>
    <s v="2018-Q4"/>
    <s v="2018-Q1"/>
    <d v="2018-10-01T00:00:00"/>
    <d v="2018-01-01T00:00:00"/>
    <s v="2019-q2"/>
    <d v="2019-04-01T00:00:00"/>
    <s v="2020-q1"/>
    <d v="2020-01-01T00:00:00"/>
    <x v="0"/>
  </r>
  <r>
    <x v="0"/>
    <s v="Lafayette County, Missouri"/>
    <s v="2018-Q4"/>
    <s v="2018-Q1"/>
    <d v="2018-10-01T00:00:00"/>
    <d v="2018-01-01T00:00:00"/>
    <s v="2019-q2"/>
    <d v="2019-04-01T00:00:00"/>
    <s v="2020-q1"/>
    <d v="2020-01-01T00:00:00"/>
    <x v="0"/>
  </r>
  <r>
    <x v="0"/>
    <s v="Lawrence County, Missouri"/>
    <s v="2018-Q4"/>
    <s v="2018-Q1"/>
    <d v="2018-10-01T00:00:00"/>
    <d v="2018-01-01T00:00:00"/>
    <s v="2019-q1"/>
    <d v="2019-01-01T00:00:00"/>
    <s v="2020-q1"/>
    <d v="2020-01-01T00:00:00"/>
    <x v="0"/>
  </r>
  <r>
    <x v="1"/>
    <s v="Lincoln County, Missouri"/>
    <s v="2018-Q4"/>
    <s v="2018-Q1"/>
    <d v="2018-10-01T00:00:00"/>
    <d v="2018-01-01T00:00:00"/>
    <s v="2018-q4"/>
    <d v="2018-10-01T00:00:00"/>
    <s v="2020-q1"/>
    <d v="2020-01-01T00:00:00"/>
    <x v="0"/>
  </r>
  <r>
    <x v="1"/>
    <s v="Madison County, Missouri"/>
    <s v="2019-Q1"/>
    <s v="2018-Q3"/>
    <d v="2019-01-01T00:00:00"/>
    <d v="2018-07-01T00:00:00"/>
    <s v="2019-q2"/>
    <d v="2019-04-01T00:00:00"/>
    <s v="2019-q4"/>
    <d v="2019-10-01T00:00:00"/>
    <x v="0"/>
  </r>
  <r>
    <x v="0"/>
    <s v="McDonald County, Missouri"/>
    <s v="2019-Q1"/>
    <s v="2017-Q1"/>
    <d v="2019-01-01T00:00:00"/>
    <d v="2017-01-01T00:00:00"/>
    <s v="2019-q2"/>
    <d v="2019-04-01T00:00:00"/>
    <s v="2020-q1"/>
    <d v="2020-01-01T00:00:00"/>
    <x v="0"/>
  </r>
  <r>
    <x v="0"/>
    <s v="Moniteau County, Missouri"/>
    <s v="2018-Q4"/>
    <s v="2018-Q1"/>
    <d v="2018-10-01T00:00:00"/>
    <d v="2018-01-01T00:00:00"/>
    <s v="2019-q1"/>
    <d v="2019-01-01T00:00:00"/>
    <s v="2020-1"/>
    <d v="2020-01-01T00:00:00"/>
    <x v="0"/>
  </r>
  <r>
    <x v="0"/>
    <s v="Newton County, Missouri"/>
    <s v="2018-Q4"/>
    <m/>
    <d v="2018-10-01T00:00:00"/>
    <e v="#VALUE!"/>
    <s v="2019-q2"/>
    <d v="2019-04-01T00:00:00"/>
    <s v="2020-q1"/>
    <d v="2020-01-01T00:00:00"/>
    <x v="0"/>
  </r>
  <r>
    <x v="0"/>
    <s v="Pettis County, Missouri"/>
    <s v="2018-Q3"/>
    <s v="2017-Q4"/>
    <d v="2018-07-01T00:00:00"/>
    <d v="2017-10-01T00:00:00"/>
    <s v="2019-q1"/>
    <d v="2019-01-01T00:00:00"/>
    <s v="2019-q1"/>
    <d v="2019-01-01T00:00:00"/>
    <x v="1"/>
  </r>
  <r>
    <x v="0"/>
    <s v="Platte County, Missouri"/>
    <s v="2018-Q4"/>
    <s v="2016-Q4"/>
    <d v="2018-10-01T00:00:00"/>
    <d v="2016-10-01T00:00:00"/>
    <s v="2018-q4"/>
    <d v="2018-10-01T00:00:00"/>
    <s v="2020-q1"/>
    <d v="2020-01-01T00:00:00"/>
    <x v="2"/>
  </r>
  <r>
    <x v="0"/>
    <s v="Ray County, Missouri"/>
    <s v="2018-Q4"/>
    <s v="2018-Q1"/>
    <d v="2018-10-01T00:00:00"/>
    <d v="2018-01-01T00:00:00"/>
    <s v="2019-q1"/>
    <d v="2019-01-01T00:00:00"/>
    <s v="2020-q1"/>
    <d v="2020-01-01T00:00:00"/>
    <x v="0"/>
  </r>
  <r>
    <x v="0"/>
    <s v="Saline, MO"/>
    <s v="2018-Q4"/>
    <m/>
    <d v="2018-10-01T00:00:00"/>
    <e v="#VALUE!"/>
    <s v="2019-q1"/>
    <d v="2019-01-01T00:00:00"/>
    <s v="2020-q1"/>
    <d v="2020-01-01T00:00:00"/>
    <x v="0"/>
  </r>
  <r>
    <x v="1"/>
    <s v="St. Charles County, Missouri"/>
    <s v="2018-Q4"/>
    <s v="2018-Q1"/>
    <d v="2018-10-01T00:00:00"/>
    <d v="2018-01-01T00:00:00"/>
    <s v="2019-q2"/>
    <d v="2019-04-01T00:00:00"/>
    <s v="2020-q1"/>
    <d v="2020-01-01T00:00:00"/>
    <x v="3"/>
  </r>
  <r>
    <x v="1"/>
    <s v="St. Francois County, Missouri"/>
    <s v="2018-Q3"/>
    <s v="2017-Q3"/>
    <d v="2018-07-01T00:00:00"/>
    <d v="2017-07-01T00:00:00"/>
    <s v="2019-q2"/>
    <d v="2019-04-01T00:00:00"/>
    <s v="2020-q1"/>
    <d v="2020-01-01T00:00:00"/>
    <x v="0"/>
  </r>
  <r>
    <x v="1"/>
    <s v="St. Louis city, Missouri"/>
    <s v="2019-Q1"/>
    <s v="2018-Q1"/>
    <d v="2019-01-01T00:00:00"/>
    <d v="2018-01-01T00:00:00"/>
    <s v="?? Parcel coverage not full"/>
    <e v="#VALUE!"/>
    <s v="2019-q2"/>
    <d v="2019-04-01T00:00:00"/>
    <x v="1"/>
  </r>
  <r>
    <x v="1"/>
    <s v="St. Louis County, Missouri"/>
    <s v="2019-Q1"/>
    <s v="2018-Q1"/>
    <d v="2019-01-01T00:00:00"/>
    <d v="2018-01-01T00:00:00"/>
    <s v="2019-q2"/>
    <d v="2019-04-01T00:00:00"/>
    <s v="2020-q1"/>
    <d v="2020-01-01T00:00:00"/>
    <x v="0"/>
  </r>
  <r>
    <x v="1"/>
    <s v="Ste. Genevieve County, Missouri"/>
    <s v="2018-Q2"/>
    <s v="2017-Q4"/>
    <d v="2018-04-01T00:00:00"/>
    <d v="2017-10-01T00:00:00"/>
    <s v="2019-q2"/>
    <d v="2019-04-01T00:00:00"/>
    <s v="2019-q3"/>
    <d v="2019-07-01T00:00:00"/>
    <x v="0"/>
  </r>
  <r>
    <x v="0"/>
    <s v="Stone County, Missouri"/>
    <s v="2018-Q4"/>
    <s v="2018-Q1"/>
    <d v="2018-10-01T00:00:00"/>
    <d v="2018-01-01T00:00:00"/>
    <s v="2019-q2"/>
    <d v="2019-04-01T00:00:00"/>
    <s v="2020-q1"/>
    <d v="2020-01-01T00:00:00"/>
    <x v="0"/>
  </r>
  <r>
    <x v="0"/>
    <s v="Vernon County, Missouri"/>
    <s v="2018-Q4"/>
    <s v="2015-Q2"/>
    <d v="2018-10-01T00:00:00"/>
    <d v="2015-04-01T00:00:00"/>
    <s v="2019-q2"/>
    <d v="2019-04-01T00:00:00"/>
    <s v="2020-q1"/>
    <d v="2020-01-01T00:00:00"/>
    <x v="0"/>
  </r>
  <r>
    <x v="1"/>
    <s v="Warren County, Missouri"/>
    <s v="2018-Q4"/>
    <s v="2018-Q1"/>
    <d v="2018-10-01T00:00:00"/>
    <d v="2018-01-01T00:00:00"/>
    <s v="2019-q1"/>
    <d v="2019-01-01T00:00:00"/>
    <s v="2020-q1"/>
    <d v="2020-01-01T00:00:00"/>
    <x v="0"/>
  </r>
  <r>
    <x v="1"/>
    <s v="Washington County, Missouri"/>
    <s v="2018-Q2"/>
    <s v="2017-Q3"/>
    <d v="2018-04-01T00:00:00"/>
    <d v="2017-07-01T00:00:00"/>
    <s v="2019-q2"/>
    <d v="2019-04-01T00:00:00"/>
    <s v="2020-q1"/>
    <d v="2020-01-01T00:00:00"/>
    <x v="0"/>
  </r>
  <r>
    <x v="1"/>
    <s v="Madison County, Illinois"/>
    <s v="2018-Q4"/>
    <s v="2017-Q1"/>
    <d v="2018-10-01T00:00:00"/>
    <d v="2017-01-01T00:00:00"/>
    <s v="2018-q4"/>
    <d v="2018-10-01T00:00:00"/>
    <s v="2020-q1"/>
    <d v="2020-01-01T00:00:00"/>
    <x v="0"/>
  </r>
  <r>
    <x v="1"/>
    <s v="Monroe County, Illinois"/>
    <s v="2018-Q3"/>
    <s v="2017-Q2"/>
    <d v="2018-07-01T00:00:00"/>
    <d v="2017-04-01T00:00:00"/>
    <s v="2018-q3"/>
    <d v="2018-07-01T00:00:00"/>
    <s v="2019-q3"/>
    <d v="2019-07-01T00:00:00"/>
    <x v="0"/>
  </r>
  <r>
    <x v="1"/>
    <s v="St. Clair County, Illinois"/>
    <s v="2018-Q4"/>
    <s v="2018-Q1"/>
    <d v="2018-10-01T00:00:00"/>
    <d v="2018-01-01T00:00:00"/>
    <s v="2018-q4"/>
    <d v="2018-10-01T00:00:00"/>
    <s v="2019-q4"/>
    <d v="2019-10-01T00:00:00"/>
    <x v="4"/>
  </r>
  <r>
    <x v="2"/>
    <s v="JERSEY, IL"/>
    <s v="2019-Q1"/>
    <m/>
    <d v="2019-01-01T00:00:00"/>
    <e v="#VALUE!"/>
    <s v="2019-q1"/>
    <d v="2019-01-01T00:00:00"/>
    <s v="2020-q1"/>
    <d v="2020-01-01T00:00:00"/>
    <x v="0"/>
  </r>
  <r>
    <x v="2"/>
    <s v="MACOUPIN, IL"/>
    <s v="2018-Q4"/>
    <m/>
    <d v="2018-10-01T00:00:00"/>
    <e v="#VALUE!"/>
    <s v="2019-q1"/>
    <d v="2019-01-01T00:00:00"/>
    <s v="2019-q4"/>
    <d v="2019-10-01T00:00:00"/>
    <x v="0"/>
  </r>
  <r>
    <x v="2"/>
    <s v="RANDOLPH, IL"/>
    <s v="2018-Q2"/>
    <m/>
    <d v="2018-04-01T00:00:00"/>
    <e v="#VALUE!"/>
    <s v="2019-q1"/>
    <d v="2019-01-01T00:00:00"/>
    <s v="2020-q1"/>
    <d v="2020-01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F8896-08B3-4D70-A9D2-6E16B6A3377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>
      <items count="6">
        <item x="2"/>
        <item x="0"/>
        <item x="3"/>
        <item x="4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s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B1F41-6117-4D12-A648-FCAEF47EBFC5}" name="Table2" displayName="Table2" ref="A1:K52" totalsRowShown="0" headerRowCellStyle="Normal" dataCellStyle="Normal">
  <autoFilter ref="A1:K52" xr:uid="{DCCB4A06-EC13-41C4-A27A-B42DCF4B1A34}"/>
  <tableColumns count="11">
    <tableColumn id="1" xr3:uid="{7A69B425-A3B6-4378-8785-5864334E9581}" name="Site" dataCellStyle="Normal"/>
    <tableColumn id="2" xr3:uid="{BB1E3696-C2F6-440D-8FA0-14C0C663FCE3}" name="County" dataCellStyle="Normal"/>
    <tableColumn id="3" xr3:uid="{DD5E6F54-AE0E-4770-8C4D-58D618BD05D0}" name="Last_Update" dataCellStyle="Normal"/>
    <tableColumn id="4" xr3:uid="{D4DC4ACF-B1B5-4D1B-9D10-05F40EC8FD2F}" name="Prev Update" dataCellStyle="Normal"/>
    <tableColumn id="6" xr3:uid="{2DA542BB-F30B-4FA6-88C9-F5B088B2EEA3}" name="Date_Lupdate" dataDxfId="4">
      <calculatedColumnFormula>DATE(LEFT(C2, 4),CHOOSE(RIGHT(C2,1),1,4,7,10),1)</calculatedColumnFormula>
    </tableColumn>
    <tableColumn id="7" xr3:uid="{73269565-B41A-4499-8970-D815D7E92EC9}" name="Date_Pupdate" dataDxfId="3">
      <calculatedColumnFormula>DATE(LEFT(D2, 4),CHOOSE(RIGHT(D2,1),1,4,7,10),1)</calculatedColumnFormula>
    </tableColumn>
    <tableColumn id="5" xr3:uid="{6A3EEDA4-371A-4C83-B021-760AC6DA883F}" name="June2019Review" dataCellStyle="Normal"/>
    <tableColumn id="8" xr3:uid="{490C14BD-39F1-4094-A167-62526581B983}" name="June2019Review_Date" dataDxfId="2" dataCellStyle="Normal">
      <calculatedColumnFormula>DATE(LEFT(G2, 4),CHOOSE(RIGHT(G2,1),1,4,7,10),1)</calculatedColumnFormula>
    </tableColumn>
    <tableColumn id="9" xr3:uid="{B25A8CF5-4CD2-40A1-8DF7-70D650ADA972}" name="Feb2020Review" dataCellStyle="Normal"/>
    <tableColumn id="10" xr3:uid="{F3EDCFD0-161A-4075-9C5B-2E2F917DA5C5}" name="Feb2020Review_Date" dataDxfId="1" dataCellStyle="Normal">
      <calculatedColumnFormula>DATE(LEFT(I2, 4),CHOOSE(RIGHT(I2,1),1,4,7,10),1)</calculatedColumnFormula>
    </tableColumn>
    <tableColumn id="11" xr3:uid="{7DAA3258-3DCB-49BB-AF19-1A8FF7FAB9A2}" name="Cost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19A4-5919-41D8-9169-96A1A24AD669}">
  <dimension ref="A1:J58"/>
  <sheetViews>
    <sheetView topLeftCell="C1" workbookViewId="0">
      <pane ySplit="1" topLeftCell="A6" activePane="bottomLeft" state="frozen"/>
      <selection pane="bottomLeft" activeCell="F20" sqref="E20:F43"/>
    </sheetView>
  </sheetViews>
  <sheetFormatPr defaultRowHeight="14.4" x14ac:dyDescent="0.3"/>
  <cols>
    <col min="1" max="1" width="13.109375" style="29" customWidth="1"/>
    <col min="2" max="2" width="31.88671875" customWidth="1"/>
    <col min="3" max="4" width="15.109375" customWidth="1"/>
    <col min="5" max="5" width="24.44140625" customWidth="1"/>
    <col min="6" max="6" width="17.6640625" bestFit="1" customWidth="1"/>
    <col min="7" max="7" width="23.33203125" customWidth="1"/>
    <col min="8" max="8" width="9.5546875" bestFit="1" customWidth="1"/>
    <col min="10" max="10" width="9.664062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43637</v>
      </c>
      <c r="J1" s="3">
        <v>43885</v>
      </c>
    </row>
    <row r="2" spans="1:10" x14ac:dyDescent="0.3">
      <c r="A2" s="4" t="s">
        <v>7</v>
      </c>
      <c r="B2" s="5" t="s">
        <v>8</v>
      </c>
      <c r="C2" t="s">
        <v>9</v>
      </c>
      <c r="D2" t="s">
        <v>10</v>
      </c>
      <c r="E2" t="s">
        <v>11</v>
      </c>
      <c r="F2" s="6">
        <f>7361/10956</f>
        <v>0.67186929536327122</v>
      </c>
      <c r="G2" t="s">
        <v>12</v>
      </c>
      <c r="H2" t="s">
        <v>13</v>
      </c>
      <c r="I2" t="s">
        <v>14</v>
      </c>
    </row>
    <row r="3" spans="1:10" x14ac:dyDescent="0.3">
      <c r="A3" s="7" t="s">
        <v>7</v>
      </c>
      <c r="B3" s="8" t="s">
        <v>15</v>
      </c>
      <c r="C3" s="9" t="s">
        <v>16</v>
      </c>
      <c r="D3" s="8"/>
      <c r="E3" s="9" t="s">
        <v>17</v>
      </c>
      <c r="F3" s="6">
        <f>17731/25409</f>
        <v>0.6978236058089653</v>
      </c>
      <c r="G3" s="9" t="s">
        <v>12</v>
      </c>
      <c r="H3" s="9" t="s">
        <v>18</v>
      </c>
    </row>
    <row r="4" spans="1:10" x14ac:dyDescent="0.3">
      <c r="A4" s="10" t="s">
        <v>7</v>
      </c>
      <c r="B4" s="11" t="s">
        <v>19</v>
      </c>
      <c r="C4" s="11" t="s">
        <v>20</v>
      </c>
      <c r="D4" s="11"/>
      <c r="E4" t="s">
        <v>21</v>
      </c>
      <c r="F4" s="6">
        <f>6128/8426</f>
        <v>0.72727272727272729</v>
      </c>
      <c r="G4" t="s">
        <v>22</v>
      </c>
      <c r="H4" s="12" t="s">
        <v>13</v>
      </c>
    </row>
    <row r="5" spans="1:10" x14ac:dyDescent="0.3">
      <c r="A5" s="4" t="s">
        <v>7</v>
      </c>
      <c r="B5" s="5" t="s">
        <v>23</v>
      </c>
      <c r="C5" s="13" t="s">
        <v>9</v>
      </c>
      <c r="D5" s="13" t="s">
        <v>10</v>
      </c>
      <c r="E5" s="13" t="s">
        <v>24</v>
      </c>
      <c r="F5" s="6">
        <f>2210/13250</f>
        <v>0.16679245283018868</v>
      </c>
      <c r="G5" t="s">
        <v>12</v>
      </c>
      <c r="H5" t="s">
        <v>13</v>
      </c>
      <c r="I5" t="s">
        <v>14</v>
      </c>
    </row>
    <row r="6" spans="1:10" x14ac:dyDescent="0.3">
      <c r="A6" s="4" t="s">
        <v>7</v>
      </c>
      <c r="B6" s="5" t="s">
        <v>25</v>
      </c>
      <c r="C6" s="13" t="s">
        <v>9</v>
      </c>
      <c r="D6" s="13" t="s">
        <v>10</v>
      </c>
      <c r="E6" s="13" t="s">
        <v>11</v>
      </c>
      <c r="F6" s="6">
        <f>35783/39624</f>
        <v>0.90306379971734307</v>
      </c>
      <c r="G6" s="13" t="s">
        <v>12</v>
      </c>
      <c r="H6" s="13" t="s">
        <v>13</v>
      </c>
      <c r="I6" s="13" t="s">
        <v>14</v>
      </c>
    </row>
    <row r="7" spans="1:10" x14ac:dyDescent="0.3">
      <c r="A7" s="5" t="s">
        <v>26</v>
      </c>
      <c r="B7" s="5" t="s">
        <v>27</v>
      </c>
      <c r="C7" s="14" t="s">
        <v>20</v>
      </c>
      <c r="D7" s="14" t="s">
        <v>28</v>
      </c>
      <c r="E7" s="13" t="s">
        <v>29</v>
      </c>
      <c r="F7" s="6">
        <f>13658/29143</f>
        <v>0.46865456541879696</v>
      </c>
      <c r="G7" s="13" t="s">
        <v>22</v>
      </c>
      <c r="H7" s="13" t="s">
        <v>30</v>
      </c>
      <c r="I7" s="13" t="s">
        <v>14</v>
      </c>
    </row>
    <row r="8" spans="1:10" x14ac:dyDescent="0.3">
      <c r="A8" s="4" t="s">
        <v>7</v>
      </c>
      <c r="B8" s="15" t="s">
        <v>31</v>
      </c>
      <c r="C8" s="15"/>
      <c r="D8" s="15"/>
      <c r="H8" s="16" t="s">
        <v>30</v>
      </c>
      <c r="I8" s="17">
        <v>200</v>
      </c>
    </row>
    <row r="9" spans="1:10" x14ac:dyDescent="0.3">
      <c r="A9" s="18" t="s">
        <v>7</v>
      </c>
      <c r="B9" s="19" t="s">
        <v>32</v>
      </c>
      <c r="C9" s="13" t="s">
        <v>9</v>
      </c>
      <c r="D9" s="13" t="s">
        <v>10</v>
      </c>
      <c r="E9" s="13" t="s">
        <v>11</v>
      </c>
      <c r="F9" s="6">
        <f>41047/48521</f>
        <v>0.84596360338822363</v>
      </c>
      <c r="G9" s="13" t="s">
        <v>12</v>
      </c>
      <c r="H9" s="13" t="s">
        <v>13</v>
      </c>
      <c r="I9" s="13" t="s">
        <v>14</v>
      </c>
    </row>
    <row r="10" spans="1:10" x14ac:dyDescent="0.3">
      <c r="A10" s="4" t="s">
        <v>7</v>
      </c>
      <c r="B10" s="5" t="s">
        <v>33</v>
      </c>
      <c r="C10" s="13" t="s">
        <v>20</v>
      </c>
      <c r="D10" s="13" t="s">
        <v>28</v>
      </c>
      <c r="E10" s="13" t="s">
        <v>11</v>
      </c>
      <c r="F10" s="6">
        <f>8149/12210</f>
        <v>0.66740376740376739</v>
      </c>
      <c r="G10" s="13" t="s">
        <v>12</v>
      </c>
      <c r="H10" s="13" t="s">
        <v>30</v>
      </c>
      <c r="I10" s="13" t="s">
        <v>14</v>
      </c>
    </row>
    <row r="11" spans="1:10" x14ac:dyDescent="0.3">
      <c r="A11" s="4" t="s">
        <v>7</v>
      </c>
      <c r="B11" s="5" t="s">
        <v>34</v>
      </c>
      <c r="C11" s="13" t="s">
        <v>20</v>
      </c>
      <c r="D11" s="13" t="s">
        <v>10</v>
      </c>
      <c r="E11" s="13" t="s">
        <v>11</v>
      </c>
      <c r="F11" s="6">
        <f>33054/38446</f>
        <v>0.85975133954117466</v>
      </c>
      <c r="G11" s="13" t="s">
        <v>12</v>
      </c>
      <c r="H11" s="20" t="s">
        <v>13</v>
      </c>
    </row>
    <row r="12" spans="1:10" x14ac:dyDescent="0.3">
      <c r="A12" s="21" t="s">
        <v>7</v>
      </c>
      <c r="B12" s="22" t="s">
        <v>35</v>
      </c>
      <c r="C12" s="22"/>
      <c r="D12" s="23" t="s">
        <v>36</v>
      </c>
      <c r="H12" s="24" t="s">
        <v>37</v>
      </c>
      <c r="I12" s="17">
        <v>200</v>
      </c>
    </row>
    <row r="13" spans="1:10" x14ac:dyDescent="0.3">
      <c r="A13" s="4" t="s">
        <v>7</v>
      </c>
      <c r="B13" s="5" t="s">
        <v>38</v>
      </c>
      <c r="C13" s="13" t="s">
        <v>9</v>
      </c>
      <c r="D13" s="13" t="s">
        <v>39</v>
      </c>
      <c r="E13" s="13" t="s">
        <v>11</v>
      </c>
      <c r="F13" s="6">
        <f>8149/12993</f>
        <v>0.62718386823674288</v>
      </c>
      <c r="G13" s="13" t="s">
        <v>40</v>
      </c>
      <c r="H13" s="13" t="s">
        <v>30</v>
      </c>
      <c r="I13" s="13" t="s">
        <v>14</v>
      </c>
    </row>
    <row r="14" spans="1:10" x14ac:dyDescent="0.3">
      <c r="A14" s="4" t="s">
        <v>7</v>
      </c>
      <c r="B14" s="5" t="s">
        <v>41</v>
      </c>
      <c r="C14" s="13" t="s">
        <v>9</v>
      </c>
      <c r="D14" s="13" t="s">
        <v>10</v>
      </c>
      <c r="E14" s="13" t="s">
        <v>42</v>
      </c>
      <c r="F14" s="6">
        <f>6735/11811</f>
        <v>0.57023114046228096</v>
      </c>
      <c r="G14" s="13" t="s">
        <v>12</v>
      </c>
      <c r="H14" s="13" t="s">
        <v>13</v>
      </c>
      <c r="I14" s="13" t="s">
        <v>14</v>
      </c>
    </row>
    <row r="15" spans="1:10" x14ac:dyDescent="0.3">
      <c r="A15" s="19" t="s">
        <v>26</v>
      </c>
      <c r="B15" s="19" t="s">
        <v>43</v>
      </c>
      <c r="C15" s="14" t="s">
        <v>20</v>
      </c>
      <c r="D15" s="14" t="s">
        <v>44</v>
      </c>
      <c r="E15" s="14" t="s">
        <v>45</v>
      </c>
      <c r="F15" s="6">
        <f>9610/17955</f>
        <v>0.53522695627958783</v>
      </c>
      <c r="G15" s="13" t="s">
        <v>12</v>
      </c>
      <c r="H15" s="13" t="s">
        <v>30</v>
      </c>
      <c r="I15" s="13" t="s">
        <v>14</v>
      </c>
    </row>
    <row r="16" spans="1:10" x14ac:dyDescent="0.3">
      <c r="A16" s="10" t="s">
        <v>7</v>
      </c>
      <c r="B16" s="11" t="s">
        <v>46</v>
      </c>
      <c r="C16" s="11" t="s">
        <v>9</v>
      </c>
      <c r="D16" s="11"/>
      <c r="E16" s="11" t="s">
        <v>47</v>
      </c>
      <c r="F16" s="25">
        <f>76/7280</f>
        <v>1.0439560439560439E-2</v>
      </c>
      <c r="G16" s="13" t="s">
        <v>12</v>
      </c>
      <c r="H16" s="26" t="s">
        <v>30</v>
      </c>
      <c r="I16" t="s">
        <v>14</v>
      </c>
    </row>
    <row r="17" spans="1:9" x14ac:dyDescent="0.3">
      <c r="A17" s="4" t="s">
        <v>7</v>
      </c>
      <c r="B17" s="5" t="s">
        <v>48</v>
      </c>
      <c r="C17" s="13" t="s">
        <v>9</v>
      </c>
      <c r="D17" s="13" t="s">
        <v>10</v>
      </c>
      <c r="E17" s="13" t="s">
        <v>49</v>
      </c>
      <c r="F17" s="6">
        <f>4046/7134</f>
        <v>0.56714325763947293</v>
      </c>
      <c r="G17" t="s">
        <v>12</v>
      </c>
      <c r="H17" s="13" t="s">
        <v>30</v>
      </c>
      <c r="I17" s="13" t="s">
        <v>14</v>
      </c>
    </row>
    <row r="18" spans="1:9" x14ac:dyDescent="0.3">
      <c r="A18" s="27" t="s">
        <v>26</v>
      </c>
      <c r="B18" s="11" t="s">
        <v>50</v>
      </c>
      <c r="C18" s="11" t="s">
        <v>20</v>
      </c>
      <c r="D18" s="11"/>
      <c r="E18" s="11" t="s">
        <v>51</v>
      </c>
      <c r="F18" s="6">
        <f>45376/70261</f>
        <v>0.64582058325386771</v>
      </c>
      <c r="G18" s="11" t="s">
        <v>12</v>
      </c>
      <c r="H18" s="20" t="s">
        <v>13</v>
      </c>
    </row>
    <row r="19" spans="1:9" x14ac:dyDescent="0.3">
      <c r="A19" s="4" t="s">
        <v>7</v>
      </c>
      <c r="B19" s="5" t="s">
        <v>52</v>
      </c>
      <c r="C19" s="13" t="s">
        <v>20</v>
      </c>
      <c r="D19" s="13" t="s">
        <v>53</v>
      </c>
      <c r="E19" s="13" t="s">
        <v>54</v>
      </c>
      <c r="F19" s="6">
        <f>109524/117619</f>
        <v>0.93117608549639086</v>
      </c>
      <c r="G19" s="13" t="s">
        <v>12</v>
      </c>
      <c r="H19" s="9" t="s">
        <v>13</v>
      </c>
    </row>
    <row r="20" spans="1:9" x14ac:dyDescent="0.3">
      <c r="A20" s="10" t="s">
        <v>7</v>
      </c>
      <c r="B20" s="11" t="s">
        <v>55</v>
      </c>
      <c r="C20" s="11" t="s">
        <v>9</v>
      </c>
      <c r="D20" s="11"/>
      <c r="E20" s="11" t="s">
        <v>56</v>
      </c>
      <c r="F20" s="6">
        <f>11503/16249</f>
        <v>0.70792048741461011</v>
      </c>
      <c r="G20" s="11" t="s">
        <v>12</v>
      </c>
      <c r="H20" s="26" t="s">
        <v>13</v>
      </c>
      <c r="I20" s="11" t="s">
        <v>14</v>
      </c>
    </row>
    <row r="21" spans="1:9" x14ac:dyDescent="0.3">
      <c r="A21" s="4" t="s">
        <v>7</v>
      </c>
      <c r="B21" s="5" t="s">
        <v>57</v>
      </c>
      <c r="C21" s="13" t="s">
        <v>9</v>
      </c>
      <c r="D21" s="13" t="s">
        <v>10</v>
      </c>
      <c r="E21" s="13" t="s">
        <v>58</v>
      </c>
      <c r="F21" s="6">
        <f>5016/8877</f>
        <v>0.56505576208178443</v>
      </c>
      <c r="G21" s="13" t="s">
        <v>12</v>
      </c>
      <c r="H21" s="13" t="s">
        <v>30</v>
      </c>
      <c r="I21" s="13" t="s">
        <v>14</v>
      </c>
    </row>
    <row r="22" spans="1:9" x14ac:dyDescent="0.3">
      <c r="A22" s="5" t="s">
        <v>26</v>
      </c>
      <c r="B22" s="5" t="s">
        <v>59</v>
      </c>
      <c r="C22" s="5"/>
      <c r="D22" s="14" t="s">
        <v>10</v>
      </c>
      <c r="E22" s="14" t="s">
        <v>60</v>
      </c>
      <c r="F22" s="6">
        <f>4054/11333</f>
        <v>0.35771640342363009</v>
      </c>
      <c r="G22" s="13" t="s">
        <v>12</v>
      </c>
      <c r="H22" s="13" t="s">
        <v>30</v>
      </c>
      <c r="I22" s="13" t="s">
        <v>14</v>
      </c>
    </row>
    <row r="23" spans="1:9" x14ac:dyDescent="0.3">
      <c r="A23" s="4" t="s">
        <v>7</v>
      </c>
      <c r="B23" s="5" t="s">
        <v>61</v>
      </c>
      <c r="C23" s="13" t="s">
        <v>9</v>
      </c>
      <c r="D23" s="13" t="s">
        <v>10</v>
      </c>
      <c r="E23" s="13" t="s">
        <v>62</v>
      </c>
      <c r="F23" s="6">
        <f>290187/308921</f>
        <v>0.9393566640014761</v>
      </c>
      <c r="G23" s="13" t="s">
        <v>12</v>
      </c>
      <c r="H23" s="9" t="s">
        <v>37</v>
      </c>
    </row>
    <row r="24" spans="1:9" x14ac:dyDescent="0.3">
      <c r="A24" s="28" t="s">
        <v>7</v>
      </c>
      <c r="B24" s="23" t="s">
        <v>63</v>
      </c>
      <c r="C24" s="23"/>
      <c r="D24" s="23" t="s">
        <v>10</v>
      </c>
      <c r="H24" s="24" t="s">
        <v>37</v>
      </c>
      <c r="I24" s="17">
        <v>200</v>
      </c>
    </row>
    <row r="25" spans="1:9" x14ac:dyDescent="0.3">
      <c r="A25" s="5" t="s">
        <v>26</v>
      </c>
      <c r="B25" s="5" t="s">
        <v>64</v>
      </c>
      <c r="C25" s="13" t="s">
        <v>65</v>
      </c>
      <c r="D25" s="14" t="s">
        <v>10</v>
      </c>
      <c r="E25" s="14" t="s">
        <v>62</v>
      </c>
      <c r="F25" s="6">
        <f>83911/101842</f>
        <v>0.82393315135209444</v>
      </c>
      <c r="G25" s="14" t="s">
        <v>12</v>
      </c>
      <c r="H25" s="14" t="s">
        <v>30</v>
      </c>
      <c r="I25" s="14" t="s">
        <v>14</v>
      </c>
    </row>
    <row r="26" spans="1:9" x14ac:dyDescent="0.3">
      <c r="A26" s="4" t="s">
        <v>7</v>
      </c>
      <c r="B26" s="5" t="s">
        <v>66</v>
      </c>
      <c r="C26" s="13" t="s">
        <v>9</v>
      </c>
      <c r="D26" s="13" t="s">
        <v>10</v>
      </c>
      <c r="E26" s="13" t="s">
        <v>62</v>
      </c>
      <c r="F26" s="6">
        <f>19064/26029</f>
        <v>0.73241384609474047</v>
      </c>
      <c r="G26" t="s">
        <v>12</v>
      </c>
      <c r="H26" s="13" t="s">
        <v>30</v>
      </c>
      <c r="I26" s="13" t="s">
        <v>14</v>
      </c>
    </row>
    <row r="27" spans="1:9" x14ac:dyDescent="0.3">
      <c r="A27" s="4" t="s">
        <v>7</v>
      </c>
      <c r="B27" s="5" t="s">
        <v>67</v>
      </c>
      <c r="C27" s="13" t="s">
        <v>9</v>
      </c>
      <c r="D27" s="13" t="s">
        <v>10</v>
      </c>
      <c r="E27" s="13" t="s">
        <v>11</v>
      </c>
      <c r="F27" s="6">
        <f>14079/22509</f>
        <v>0.62548314007730244</v>
      </c>
      <c r="G27" t="s">
        <v>12</v>
      </c>
      <c r="H27" s="13" t="s">
        <v>30</v>
      </c>
      <c r="I27" s="13" t="s">
        <v>14</v>
      </c>
    </row>
    <row r="28" spans="1:9" x14ac:dyDescent="0.3">
      <c r="A28" s="4" t="s">
        <v>7</v>
      </c>
      <c r="B28" s="5" t="s">
        <v>68</v>
      </c>
      <c r="C28" s="13" t="s">
        <v>9</v>
      </c>
      <c r="D28" s="13" t="s">
        <v>10</v>
      </c>
      <c r="E28" s="13" t="s">
        <v>69</v>
      </c>
      <c r="F28" s="6">
        <f>10780/20670</f>
        <v>0.52152878567972905</v>
      </c>
      <c r="G28" s="13" t="s">
        <v>12</v>
      </c>
      <c r="H28" s="13" t="s">
        <v>13</v>
      </c>
      <c r="I28" s="13" t="s">
        <v>14</v>
      </c>
    </row>
    <row r="29" spans="1:9" x14ac:dyDescent="0.3">
      <c r="A29" s="5" t="s">
        <v>26</v>
      </c>
      <c r="B29" s="5" t="s">
        <v>70</v>
      </c>
      <c r="C29" s="13" t="s">
        <v>9</v>
      </c>
      <c r="D29" s="14" t="s">
        <v>10</v>
      </c>
      <c r="E29" s="14" t="s">
        <v>71</v>
      </c>
      <c r="F29" s="6">
        <f>23033/29907</f>
        <v>0.77015414451466213</v>
      </c>
      <c r="G29" s="14" t="s">
        <v>12</v>
      </c>
      <c r="H29" s="9" t="s">
        <v>37</v>
      </c>
    </row>
    <row r="30" spans="1:9" x14ac:dyDescent="0.3">
      <c r="A30" s="5" t="s">
        <v>26</v>
      </c>
      <c r="B30" s="5" t="s">
        <v>72</v>
      </c>
      <c r="C30" s="13" t="s">
        <v>20</v>
      </c>
      <c r="D30" s="14" t="s">
        <v>65</v>
      </c>
      <c r="E30" s="14" t="s">
        <v>73</v>
      </c>
      <c r="F30" s="6">
        <f>5694/11260</f>
        <v>0.50568383658969807</v>
      </c>
      <c r="G30" s="14" t="s">
        <v>12</v>
      </c>
      <c r="H30" s="14" t="s">
        <v>30</v>
      </c>
      <c r="I30" s="14" t="s">
        <v>14</v>
      </c>
    </row>
    <row r="31" spans="1:9" x14ac:dyDescent="0.3">
      <c r="A31" s="4" t="s">
        <v>7</v>
      </c>
      <c r="B31" s="5" t="s">
        <v>74</v>
      </c>
      <c r="C31" s="13" t="s">
        <v>20</v>
      </c>
      <c r="D31" s="13" t="s">
        <v>28</v>
      </c>
      <c r="E31" s="13" t="s">
        <v>75</v>
      </c>
      <c r="F31" s="6">
        <f>9678/16489</f>
        <v>0.58693674570926069</v>
      </c>
      <c r="G31" s="13" t="s">
        <v>22</v>
      </c>
      <c r="H31" s="13" t="s">
        <v>30</v>
      </c>
      <c r="I31" s="13" t="s">
        <v>14</v>
      </c>
    </row>
    <row r="32" spans="1:9" x14ac:dyDescent="0.3">
      <c r="A32" s="4" t="s">
        <v>7</v>
      </c>
      <c r="B32" s="5" t="s">
        <v>76</v>
      </c>
      <c r="C32" s="13" t="s">
        <v>9</v>
      </c>
      <c r="D32" s="13" t="s">
        <v>10</v>
      </c>
      <c r="E32" s="13" t="s">
        <v>69</v>
      </c>
      <c r="F32" s="6">
        <f>1657/9782</f>
        <v>0.16939276221631569</v>
      </c>
      <c r="G32" s="13" t="s">
        <v>40</v>
      </c>
      <c r="H32" s="13" t="s">
        <v>13</v>
      </c>
      <c r="I32" s="13" t="s">
        <v>14</v>
      </c>
    </row>
    <row r="33" spans="1:9" x14ac:dyDescent="0.3">
      <c r="A33" s="10" t="s">
        <v>7</v>
      </c>
      <c r="B33" s="11" t="s">
        <v>77</v>
      </c>
      <c r="C33" s="11" t="s">
        <v>9</v>
      </c>
      <c r="D33" s="11"/>
      <c r="E33" s="11" t="s">
        <v>56</v>
      </c>
      <c r="F33" s="6">
        <f>16889/30670</f>
        <v>0.55066840560808605</v>
      </c>
      <c r="G33" s="11" t="s">
        <v>12</v>
      </c>
      <c r="H33" s="26" t="s">
        <v>30</v>
      </c>
      <c r="I33" s="11" t="s">
        <v>14</v>
      </c>
    </row>
    <row r="34" spans="1:9" x14ac:dyDescent="0.3">
      <c r="A34" s="4" t="s">
        <v>7</v>
      </c>
      <c r="B34" s="5" t="s">
        <v>78</v>
      </c>
      <c r="C34" s="13" t="s">
        <v>65</v>
      </c>
      <c r="D34" s="13" t="s">
        <v>79</v>
      </c>
      <c r="E34" s="13" t="s">
        <v>75</v>
      </c>
      <c r="F34" s="6">
        <f>18627/24188</f>
        <v>0.77009260790474621</v>
      </c>
      <c r="G34" s="13" t="s">
        <v>80</v>
      </c>
      <c r="H34" s="13" t="s">
        <v>13</v>
      </c>
      <c r="I34" s="13" t="s">
        <v>14</v>
      </c>
    </row>
    <row r="35" spans="1:9" x14ac:dyDescent="0.3">
      <c r="A35" s="4" t="s">
        <v>7</v>
      </c>
      <c r="B35" s="5" t="s">
        <v>81</v>
      </c>
      <c r="C35" s="13" t="s">
        <v>9</v>
      </c>
      <c r="D35" s="13" t="s">
        <v>82</v>
      </c>
      <c r="E35" s="13" t="s">
        <v>29</v>
      </c>
      <c r="F35" s="6">
        <f>34508/42916</f>
        <v>0.80408239351290889</v>
      </c>
      <c r="G35" s="13" t="s">
        <v>12</v>
      </c>
      <c r="H35" s="9" t="s">
        <v>37</v>
      </c>
    </row>
    <row r="36" spans="1:9" x14ac:dyDescent="0.3">
      <c r="A36" s="4" t="s">
        <v>7</v>
      </c>
      <c r="B36" s="5" t="s">
        <v>83</v>
      </c>
      <c r="C36" s="13" t="s">
        <v>9</v>
      </c>
      <c r="D36" s="13" t="s">
        <v>10</v>
      </c>
      <c r="E36" s="13" t="s">
        <v>29</v>
      </c>
      <c r="F36" s="6">
        <f>9623/15802</f>
        <v>0.60897354765219591</v>
      </c>
      <c r="G36" s="13" t="s">
        <v>12</v>
      </c>
      <c r="H36" s="13" t="s">
        <v>13</v>
      </c>
      <c r="I36" s="13" t="s">
        <v>14</v>
      </c>
    </row>
    <row r="37" spans="1:9" x14ac:dyDescent="0.3">
      <c r="A37" s="10" t="s">
        <v>7</v>
      </c>
      <c r="B37" s="11" t="s">
        <v>84</v>
      </c>
      <c r="C37" s="11" t="s">
        <v>9</v>
      </c>
      <c r="D37" s="11"/>
      <c r="E37" s="11" t="s">
        <v>56</v>
      </c>
      <c r="F37" s="6">
        <f>14098/15897</f>
        <v>0.8868339938353148</v>
      </c>
      <c r="G37" s="11" t="s">
        <v>12</v>
      </c>
      <c r="H37" s="26" t="s">
        <v>13</v>
      </c>
      <c r="I37" s="11" t="s">
        <v>14</v>
      </c>
    </row>
    <row r="38" spans="1:9" x14ac:dyDescent="0.3">
      <c r="A38" s="5" t="s">
        <v>26</v>
      </c>
      <c r="B38" s="5" t="s">
        <v>85</v>
      </c>
      <c r="C38" s="13" t="s">
        <v>9</v>
      </c>
      <c r="D38" s="14" t="s">
        <v>10</v>
      </c>
      <c r="E38" s="14" t="s">
        <v>62</v>
      </c>
      <c r="F38" s="6">
        <f>143887/160026</f>
        <v>0.89914763850874235</v>
      </c>
      <c r="G38" s="14" t="s">
        <v>80</v>
      </c>
      <c r="H38" s="14" t="s">
        <v>30</v>
      </c>
      <c r="I38" s="14" t="s">
        <v>14</v>
      </c>
    </row>
    <row r="39" spans="1:9" x14ac:dyDescent="0.3">
      <c r="A39" s="5" t="s">
        <v>26</v>
      </c>
      <c r="B39" s="5" t="s">
        <v>86</v>
      </c>
      <c r="C39" s="13" t="s">
        <v>65</v>
      </c>
      <c r="D39" s="14" t="s">
        <v>39</v>
      </c>
      <c r="E39" s="14" t="s">
        <v>87</v>
      </c>
      <c r="F39" s="6">
        <f>32277/40175</f>
        <v>0.80341008089607968</v>
      </c>
      <c r="G39" s="14" t="s">
        <v>22</v>
      </c>
      <c r="H39" s="14" t="s">
        <v>30</v>
      </c>
      <c r="I39" s="14" t="s">
        <v>14</v>
      </c>
    </row>
    <row r="40" spans="1:9" x14ac:dyDescent="0.3">
      <c r="A40" s="5" t="s">
        <v>26</v>
      </c>
      <c r="B40" s="5" t="s">
        <v>88</v>
      </c>
      <c r="C40" s="13" t="s">
        <v>20</v>
      </c>
      <c r="D40" s="14" t="s">
        <v>10</v>
      </c>
      <c r="E40" s="14" t="s">
        <v>62</v>
      </c>
      <c r="F40" s="25">
        <f>127732/127732</f>
        <v>1</v>
      </c>
      <c r="G40" s="14" t="s">
        <v>42</v>
      </c>
      <c r="H40" s="9" t="s">
        <v>89</v>
      </c>
    </row>
    <row r="41" spans="1:9" x14ac:dyDescent="0.3">
      <c r="A41" s="5" t="s">
        <v>26</v>
      </c>
      <c r="B41" s="5" t="s">
        <v>90</v>
      </c>
      <c r="C41" s="13" t="s">
        <v>20</v>
      </c>
      <c r="D41" s="14" t="s">
        <v>10</v>
      </c>
      <c r="E41" s="14" t="s">
        <v>11</v>
      </c>
      <c r="F41" s="25">
        <f>398034/398973</f>
        <v>0.99764645727906398</v>
      </c>
      <c r="G41" s="14" t="s">
        <v>91</v>
      </c>
      <c r="H41" s="14" t="s">
        <v>30</v>
      </c>
      <c r="I41" s="14" t="s">
        <v>14</v>
      </c>
    </row>
    <row r="42" spans="1:9" x14ac:dyDescent="0.3">
      <c r="A42" s="5" t="s">
        <v>26</v>
      </c>
      <c r="B42" s="5" t="s">
        <v>92</v>
      </c>
      <c r="C42" s="13" t="s">
        <v>93</v>
      </c>
      <c r="D42" s="14" t="s">
        <v>79</v>
      </c>
      <c r="E42" s="14" t="s">
        <v>62</v>
      </c>
      <c r="F42" s="6">
        <f>10783/17706</f>
        <v>0.60900259798938217</v>
      </c>
      <c r="G42" s="14" t="s">
        <v>80</v>
      </c>
      <c r="H42" s="14" t="s">
        <v>30</v>
      </c>
      <c r="I42" s="14" t="s">
        <v>14</v>
      </c>
    </row>
    <row r="43" spans="1:9" x14ac:dyDescent="0.3">
      <c r="A43" s="4" t="s">
        <v>7</v>
      </c>
      <c r="B43" s="5" t="s">
        <v>94</v>
      </c>
      <c r="C43" s="13" t="s">
        <v>9</v>
      </c>
      <c r="D43" s="13" t="s">
        <v>10</v>
      </c>
      <c r="E43" s="13" t="s">
        <v>29</v>
      </c>
      <c r="F43" s="6">
        <f>20553/35183</f>
        <v>0.58417417502771229</v>
      </c>
      <c r="G43" s="13" t="s">
        <v>12</v>
      </c>
      <c r="H43" s="13" t="s">
        <v>30</v>
      </c>
      <c r="I43" s="13" t="s">
        <v>14</v>
      </c>
    </row>
    <row r="44" spans="1:9" x14ac:dyDescent="0.3">
      <c r="A44" s="18" t="s">
        <v>7</v>
      </c>
      <c r="B44" s="19" t="s">
        <v>95</v>
      </c>
      <c r="C44" s="14" t="s">
        <v>9</v>
      </c>
      <c r="D44" s="14" t="s">
        <v>44</v>
      </c>
      <c r="E44" s="14" t="s">
        <v>96</v>
      </c>
      <c r="F44" s="6">
        <f>9384/14717</f>
        <v>0.63762995175647208</v>
      </c>
      <c r="G44" s="13" t="s">
        <v>12</v>
      </c>
      <c r="H44" s="13" t="s">
        <v>30</v>
      </c>
      <c r="I44" s="13" t="s">
        <v>14</v>
      </c>
    </row>
    <row r="45" spans="1:9" x14ac:dyDescent="0.3">
      <c r="A45" s="5" t="s">
        <v>26</v>
      </c>
      <c r="B45" s="5" t="s">
        <v>97</v>
      </c>
      <c r="C45" s="13" t="s">
        <v>9</v>
      </c>
      <c r="D45" s="14" t="s">
        <v>10</v>
      </c>
      <c r="E45" s="14" t="s">
        <v>62</v>
      </c>
      <c r="F45" s="6">
        <f>17088/24809</f>
        <v>0.68878229674714819</v>
      </c>
      <c r="G45" s="14" t="s">
        <v>12</v>
      </c>
      <c r="H45" s="14" t="s">
        <v>13</v>
      </c>
      <c r="I45" s="14" t="s">
        <v>14</v>
      </c>
    </row>
    <row r="46" spans="1:9" x14ac:dyDescent="0.3">
      <c r="A46" s="5" t="s">
        <v>26</v>
      </c>
      <c r="B46" s="5" t="s">
        <v>98</v>
      </c>
      <c r="C46" s="13" t="s">
        <v>93</v>
      </c>
      <c r="D46" s="14" t="s">
        <v>39</v>
      </c>
      <c r="E46" s="14" t="s">
        <v>99</v>
      </c>
      <c r="F46" s="6">
        <f>13630/26522</f>
        <v>0.51391297790513535</v>
      </c>
      <c r="G46" s="14" t="s">
        <v>80</v>
      </c>
      <c r="H46" s="14" t="s">
        <v>30</v>
      </c>
      <c r="I46" s="14" t="s">
        <v>14</v>
      </c>
    </row>
    <row r="47" spans="1:9" x14ac:dyDescent="0.3">
      <c r="A47" s="5" t="s">
        <v>26</v>
      </c>
      <c r="B47" s="5" t="s">
        <v>100</v>
      </c>
      <c r="C47" s="13" t="s">
        <v>9</v>
      </c>
      <c r="D47" s="14" t="s">
        <v>28</v>
      </c>
      <c r="E47" s="14" t="s">
        <v>101</v>
      </c>
      <c r="F47" s="6">
        <v>0</v>
      </c>
      <c r="G47" s="14" t="s">
        <v>12</v>
      </c>
      <c r="H47" s="9" t="s">
        <v>37</v>
      </c>
    </row>
    <row r="48" spans="1:9" x14ac:dyDescent="0.3">
      <c r="A48" s="5" t="s">
        <v>26</v>
      </c>
      <c r="B48" s="5" t="s">
        <v>102</v>
      </c>
      <c r="C48" s="13" t="s">
        <v>65</v>
      </c>
      <c r="D48" s="14" t="s">
        <v>53</v>
      </c>
      <c r="E48" s="14" t="s">
        <v>103</v>
      </c>
      <c r="F48" s="6">
        <f>14177/19028</f>
        <v>0.74505991170906039</v>
      </c>
      <c r="G48" s="14" t="s">
        <v>80</v>
      </c>
      <c r="H48" s="9" t="s">
        <v>104</v>
      </c>
    </row>
    <row r="49" spans="1:9" x14ac:dyDescent="0.3">
      <c r="A49" s="5" t="s">
        <v>26</v>
      </c>
      <c r="B49" s="5" t="s">
        <v>105</v>
      </c>
      <c r="C49" s="13" t="s">
        <v>9</v>
      </c>
      <c r="D49" s="14" t="s">
        <v>10</v>
      </c>
      <c r="E49" s="14" t="s">
        <v>106</v>
      </c>
      <c r="F49" s="6">
        <f>128292/150365</f>
        <v>0.85320387058158476</v>
      </c>
      <c r="G49" s="14" t="s">
        <v>80</v>
      </c>
      <c r="H49" s="9" t="s">
        <v>37</v>
      </c>
    </row>
    <row r="50" spans="1:9" x14ac:dyDescent="0.3">
      <c r="G50" s="14"/>
    </row>
    <row r="51" spans="1:9" x14ac:dyDescent="0.3">
      <c r="A51" s="29" t="s">
        <v>107</v>
      </c>
      <c r="B51" t="s">
        <v>108</v>
      </c>
      <c r="C51" t="s">
        <v>20</v>
      </c>
      <c r="E51" t="s">
        <v>109</v>
      </c>
      <c r="F51" s="6">
        <f>11035/14383</f>
        <v>0.76722519641243137</v>
      </c>
      <c r="G51" s="14" t="s">
        <v>80</v>
      </c>
      <c r="H51" s="9" t="s">
        <v>13</v>
      </c>
    </row>
    <row r="52" spans="1:9" x14ac:dyDescent="0.3">
      <c r="A52" s="29" t="s">
        <v>107</v>
      </c>
      <c r="B52" t="s">
        <v>110</v>
      </c>
      <c r="C52" t="s">
        <v>9</v>
      </c>
      <c r="E52" t="s">
        <v>111</v>
      </c>
      <c r="F52" s="6">
        <f>23453/37989</f>
        <v>0.61736292084550792</v>
      </c>
      <c r="G52" s="14" t="s">
        <v>80</v>
      </c>
      <c r="H52" s="14" t="s">
        <v>13</v>
      </c>
      <c r="I52" s="14" t="s">
        <v>14</v>
      </c>
    </row>
    <row r="53" spans="1:9" x14ac:dyDescent="0.3">
      <c r="A53" s="29" t="s">
        <v>107</v>
      </c>
      <c r="B53" t="s">
        <v>112</v>
      </c>
      <c r="C53" t="s">
        <v>93</v>
      </c>
      <c r="E53" t="s">
        <v>109</v>
      </c>
      <c r="F53" s="6">
        <f>11848/26142</f>
        <v>0.45321704536760771</v>
      </c>
      <c r="G53" s="14" t="s">
        <v>12</v>
      </c>
      <c r="H53" s="14" t="s">
        <v>13</v>
      </c>
      <c r="I53" s="14" t="s">
        <v>14</v>
      </c>
    </row>
    <row r="54" spans="1:9" x14ac:dyDescent="0.3">
      <c r="H54" s="12"/>
    </row>
    <row r="55" spans="1:9" x14ac:dyDescent="0.3">
      <c r="C55" t="s">
        <v>113</v>
      </c>
      <c r="D55" t="s">
        <v>114</v>
      </c>
    </row>
    <row r="56" spans="1:9" x14ac:dyDescent="0.3">
      <c r="A56" s="30">
        <v>200</v>
      </c>
      <c r="B56" s="15" t="s">
        <v>31</v>
      </c>
      <c r="C56" t="s">
        <v>115</v>
      </c>
      <c r="D56" t="s">
        <v>116</v>
      </c>
    </row>
    <row r="57" spans="1:9" x14ac:dyDescent="0.3">
      <c r="A57" s="30">
        <v>200</v>
      </c>
      <c r="B57" s="22" t="s">
        <v>35</v>
      </c>
      <c r="C57" t="s">
        <v>36</v>
      </c>
      <c r="D57" t="s">
        <v>9</v>
      </c>
    </row>
    <row r="58" spans="1:9" x14ac:dyDescent="0.3">
      <c r="A58" s="30">
        <v>200</v>
      </c>
      <c r="B58" s="23" t="s">
        <v>63</v>
      </c>
      <c r="C58" t="s">
        <v>10</v>
      </c>
      <c r="D58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468-5AC8-443B-80FD-25B31F42CBDE}">
  <dimension ref="A1:K57"/>
  <sheetViews>
    <sheetView tabSelected="1" workbookViewId="0">
      <selection activeCell="N5" sqref="N5"/>
    </sheetView>
  </sheetViews>
  <sheetFormatPr defaultRowHeight="14.4" x14ac:dyDescent="0.3"/>
  <cols>
    <col min="1" max="1" width="13.109375" style="29" customWidth="1"/>
    <col min="2" max="2" width="31.88671875" customWidth="1"/>
    <col min="3" max="6" width="15.109375" hidden="1" customWidth="1"/>
    <col min="7" max="8" width="16.77734375" hidden="1" customWidth="1"/>
    <col min="9" max="9" width="15.5546875" customWidth="1"/>
    <col min="10" max="10" width="16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119</v>
      </c>
      <c r="F1" t="s">
        <v>120</v>
      </c>
      <c r="G1" t="s">
        <v>118</v>
      </c>
      <c r="H1" s="31" t="s">
        <v>121</v>
      </c>
      <c r="I1" s="31" t="s">
        <v>122</v>
      </c>
      <c r="J1" s="31" t="s">
        <v>124</v>
      </c>
      <c r="K1" s="31" t="s">
        <v>117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 s="3">
        <f>DATE(LEFT(C2, 4),CHOOSE(RIGHT(C2,1),1,4,7,10),1)</f>
        <v>43374</v>
      </c>
      <c r="F2" s="3">
        <f t="shared" ref="F2:F33" si="0">DATE(LEFT(D2, 4),CHOOSE(RIGHT(D2,1),1,4,7,10),1)</f>
        <v>43101</v>
      </c>
      <c r="G2" t="s">
        <v>13</v>
      </c>
      <c r="H2" s="32">
        <f t="shared" ref="H2:H33" si="1">DATE(LEFT(G2, 4),CHOOSE(RIGHT(G2,1),1,4,7,10),1)</f>
        <v>43466</v>
      </c>
      <c r="I2" s="31" t="s">
        <v>123</v>
      </c>
      <c r="J2" s="32">
        <f t="shared" ref="J2:J33" si="2">DATE(LEFT(I2, 4),CHOOSE(RIGHT(I2,1),1,4,7,10),1)</f>
        <v>43831</v>
      </c>
      <c r="K2" s="31">
        <v>200</v>
      </c>
    </row>
    <row r="3" spans="1:11" x14ac:dyDescent="0.3">
      <c r="A3" t="s">
        <v>7</v>
      </c>
      <c r="B3" t="s">
        <v>15</v>
      </c>
      <c r="C3" t="s">
        <v>16</v>
      </c>
      <c r="E3" s="3">
        <f t="shared" ref="E3:E33" si="3">DATE(LEFT(C3, 4),CHOOSE(RIGHT(C3,1),1,4,7,10),1)</f>
        <v>41821</v>
      </c>
      <c r="F3" s="3" t="e">
        <f t="shared" si="0"/>
        <v>#VALUE!</v>
      </c>
      <c r="G3" t="s">
        <v>18</v>
      </c>
      <c r="H3" s="32">
        <f t="shared" si="1"/>
        <v>41821</v>
      </c>
      <c r="I3" s="31" t="s">
        <v>18</v>
      </c>
      <c r="J3" s="32">
        <f t="shared" si="2"/>
        <v>41821</v>
      </c>
      <c r="K3" s="31"/>
    </row>
    <row r="4" spans="1:11" x14ac:dyDescent="0.3">
      <c r="A4" t="s">
        <v>7</v>
      </c>
      <c r="B4" t="s">
        <v>19</v>
      </c>
      <c r="C4" t="s">
        <v>20</v>
      </c>
      <c r="E4" s="3">
        <f t="shared" si="3"/>
        <v>43466</v>
      </c>
      <c r="F4" s="3" t="e">
        <f t="shared" si="0"/>
        <v>#VALUE!</v>
      </c>
      <c r="G4" t="s">
        <v>13</v>
      </c>
      <c r="H4" s="32">
        <f t="shared" si="1"/>
        <v>43466</v>
      </c>
      <c r="I4" s="31" t="s">
        <v>123</v>
      </c>
      <c r="J4" s="32">
        <f t="shared" si="2"/>
        <v>43831</v>
      </c>
      <c r="K4" s="31">
        <v>200</v>
      </c>
    </row>
    <row r="5" spans="1:11" x14ac:dyDescent="0.3">
      <c r="A5" t="s">
        <v>7</v>
      </c>
      <c r="B5" t="s">
        <v>23</v>
      </c>
      <c r="C5" t="s">
        <v>9</v>
      </c>
      <c r="D5" t="s">
        <v>10</v>
      </c>
      <c r="E5" s="3">
        <f t="shared" si="3"/>
        <v>43374</v>
      </c>
      <c r="F5" s="3">
        <f t="shared" si="0"/>
        <v>43101</v>
      </c>
      <c r="G5" t="s">
        <v>13</v>
      </c>
      <c r="H5" s="32">
        <f t="shared" si="1"/>
        <v>43466</v>
      </c>
      <c r="I5" s="31" t="s">
        <v>123</v>
      </c>
      <c r="J5" s="32">
        <f t="shared" si="2"/>
        <v>43831</v>
      </c>
      <c r="K5" s="31">
        <v>200</v>
      </c>
    </row>
    <row r="6" spans="1:11" x14ac:dyDescent="0.3">
      <c r="A6" t="s">
        <v>7</v>
      </c>
      <c r="B6" t="s">
        <v>25</v>
      </c>
      <c r="C6" t="s">
        <v>9</v>
      </c>
      <c r="D6" t="s">
        <v>10</v>
      </c>
      <c r="E6" s="3">
        <f t="shared" si="3"/>
        <v>43374</v>
      </c>
      <c r="F6" s="3">
        <f t="shared" si="0"/>
        <v>43101</v>
      </c>
      <c r="G6" t="s">
        <v>13</v>
      </c>
      <c r="H6" s="32">
        <f t="shared" si="1"/>
        <v>43466</v>
      </c>
      <c r="I6" s="31" t="s">
        <v>123</v>
      </c>
      <c r="J6" s="32">
        <f t="shared" si="2"/>
        <v>43831</v>
      </c>
      <c r="K6" s="31">
        <v>200</v>
      </c>
    </row>
    <row r="7" spans="1:11" x14ac:dyDescent="0.3">
      <c r="A7" t="s">
        <v>26</v>
      </c>
      <c r="B7" t="s">
        <v>27</v>
      </c>
      <c r="C7" t="s">
        <v>20</v>
      </c>
      <c r="D7" t="s">
        <v>28</v>
      </c>
      <c r="E7" s="3">
        <f t="shared" si="3"/>
        <v>43466</v>
      </c>
      <c r="F7" s="3">
        <f t="shared" si="0"/>
        <v>42736</v>
      </c>
      <c r="G7" t="s">
        <v>30</v>
      </c>
      <c r="H7" s="32">
        <f t="shared" si="1"/>
        <v>43556</v>
      </c>
      <c r="I7" s="31" t="s">
        <v>123</v>
      </c>
      <c r="J7" s="32">
        <f t="shared" si="2"/>
        <v>43831</v>
      </c>
      <c r="K7" s="31">
        <v>200</v>
      </c>
    </row>
    <row r="8" spans="1:11" x14ac:dyDescent="0.3">
      <c r="A8" t="s">
        <v>7</v>
      </c>
      <c r="B8" t="s">
        <v>31</v>
      </c>
      <c r="E8" s="3" t="e">
        <f t="shared" si="3"/>
        <v>#VALUE!</v>
      </c>
      <c r="F8" s="3" t="e">
        <f t="shared" si="0"/>
        <v>#VALUE!</v>
      </c>
      <c r="G8" t="s">
        <v>30</v>
      </c>
      <c r="H8" s="32">
        <f t="shared" si="1"/>
        <v>43556</v>
      </c>
      <c r="I8" s="31" t="s">
        <v>30</v>
      </c>
      <c r="J8" s="32">
        <f t="shared" si="2"/>
        <v>43556</v>
      </c>
      <c r="K8" s="31"/>
    </row>
    <row r="9" spans="1:11" x14ac:dyDescent="0.3">
      <c r="A9" t="s">
        <v>7</v>
      </c>
      <c r="B9" t="s">
        <v>32</v>
      </c>
      <c r="C9" t="s">
        <v>9</v>
      </c>
      <c r="D9" t="s">
        <v>10</v>
      </c>
      <c r="E9" s="3">
        <f t="shared" si="3"/>
        <v>43374</v>
      </c>
      <c r="F9" s="3">
        <f t="shared" si="0"/>
        <v>43101</v>
      </c>
      <c r="G9" t="s">
        <v>13</v>
      </c>
      <c r="H9" s="32">
        <f t="shared" si="1"/>
        <v>43466</v>
      </c>
      <c r="I9" s="31" t="s">
        <v>123</v>
      </c>
      <c r="J9" s="32">
        <f t="shared" si="2"/>
        <v>43831</v>
      </c>
      <c r="K9" s="31">
        <v>200</v>
      </c>
    </row>
    <row r="10" spans="1:11" x14ac:dyDescent="0.3">
      <c r="A10" t="s">
        <v>7</v>
      </c>
      <c r="B10" t="s">
        <v>33</v>
      </c>
      <c r="C10" t="s">
        <v>20</v>
      </c>
      <c r="D10" t="s">
        <v>28</v>
      </c>
      <c r="E10" s="3">
        <f t="shared" si="3"/>
        <v>43466</v>
      </c>
      <c r="F10" s="3">
        <f t="shared" si="0"/>
        <v>42736</v>
      </c>
      <c r="G10" t="s">
        <v>30</v>
      </c>
      <c r="H10" s="32">
        <f t="shared" si="1"/>
        <v>43556</v>
      </c>
      <c r="I10" s="31" t="s">
        <v>123</v>
      </c>
      <c r="J10" s="32">
        <f t="shared" si="2"/>
        <v>43831</v>
      </c>
      <c r="K10" s="31">
        <v>200</v>
      </c>
    </row>
    <row r="11" spans="1:11" x14ac:dyDescent="0.3">
      <c r="A11" t="s">
        <v>7</v>
      </c>
      <c r="B11" t="s">
        <v>34</v>
      </c>
      <c r="C11" t="s">
        <v>20</v>
      </c>
      <c r="D11" t="s">
        <v>10</v>
      </c>
      <c r="E11" s="3">
        <f t="shared" si="3"/>
        <v>43466</v>
      </c>
      <c r="F11" s="3">
        <f t="shared" si="0"/>
        <v>43101</v>
      </c>
      <c r="G11" t="s">
        <v>13</v>
      </c>
      <c r="H11" s="32">
        <f t="shared" si="1"/>
        <v>43466</v>
      </c>
      <c r="I11" s="31" t="s">
        <v>123</v>
      </c>
      <c r="J11" s="32">
        <f t="shared" si="2"/>
        <v>43831</v>
      </c>
      <c r="K11" s="31">
        <v>150</v>
      </c>
    </row>
    <row r="12" spans="1:11" x14ac:dyDescent="0.3">
      <c r="A12" t="s">
        <v>7</v>
      </c>
      <c r="B12" t="s">
        <v>35</v>
      </c>
      <c r="D12" t="s">
        <v>36</v>
      </c>
      <c r="E12" s="3" t="e">
        <f t="shared" si="3"/>
        <v>#VALUE!</v>
      </c>
      <c r="F12" s="3">
        <f t="shared" si="0"/>
        <v>42552</v>
      </c>
      <c r="G12" t="s">
        <v>37</v>
      </c>
      <c r="H12" s="32">
        <f t="shared" si="1"/>
        <v>43374</v>
      </c>
      <c r="I12" s="31" t="s">
        <v>37</v>
      </c>
      <c r="J12" s="32">
        <f t="shared" si="2"/>
        <v>43374</v>
      </c>
      <c r="K12" s="31"/>
    </row>
    <row r="13" spans="1:11" x14ac:dyDescent="0.3">
      <c r="A13" t="s">
        <v>7</v>
      </c>
      <c r="B13" t="s">
        <v>38</v>
      </c>
      <c r="C13" t="s">
        <v>9</v>
      </c>
      <c r="D13" t="s">
        <v>39</v>
      </c>
      <c r="E13" s="3">
        <f t="shared" si="3"/>
        <v>43374</v>
      </c>
      <c r="F13" s="3">
        <f t="shared" si="0"/>
        <v>42917</v>
      </c>
      <c r="G13" t="s">
        <v>30</v>
      </c>
      <c r="H13" s="32">
        <f t="shared" si="1"/>
        <v>43556</v>
      </c>
      <c r="I13" s="31" t="s">
        <v>125</v>
      </c>
      <c r="J13" s="32">
        <f t="shared" si="2"/>
        <v>43647</v>
      </c>
      <c r="K13" s="31">
        <v>200</v>
      </c>
    </row>
    <row r="14" spans="1:11" x14ac:dyDescent="0.3">
      <c r="A14" t="s">
        <v>7</v>
      </c>
      <c r="B14" t="s">
        <v>41</v>
      </c>
      <c r="C14" t="s">
        <v>9</v>
      </c>
      <c r="D14" t="s">
        <v>10</v>
      </c>
      <c r="E14" s="3">
        <f t="shared" si="3"/>
        <v>43374</v>
      </c>
      <c r="F14" s="3">
        <f t="shared" si="0"/>
        <v>43101</v>
      </c>
      <c r="G14" t="s">
        <v>13</v>
      </c>
      <c r="H14" s="32">
        <f t="shared" si="1"/>
        <v>43466</v>
      </c>
      <c r="I14" s="31" t="s">
        <v>123</v>
      </c>
      <c r="J14" s="32">
        <f t="shared" si="2"/>
        <v>43831</v>
      </c>
      <c r="K14" s="31">
        <v>200</v>
      </c>
    </row>
    <row r="15" spans="1:11" x14ac:dyDescent="0.3">
      <c r="A15" t="s">
        <v>26</v>
      </c>
      <c r="B15" t="s">
        <v>43</v>
      </c>
      <c r="C15" t="s">
        <v>20</v>
      </c>
      <c r="D15" t="s">
        <v>44</v>
      </c>
      <c r="E15" s="3">
        <f t="shared" si="3"/>
        <v>43466</v>
      </c>
      <c r="F15" s="3">
        <f t="shared" si="0"/>
        <v>42095</v>
      </c>
      <c r="G15" t="s">
        <v>30</v>
      </c>
      <c r="H15" s="32">
        <f t="shared" si="1"/>
        <v>43556</v>
      </c>
      <c r="I15" s="31" t="s">
        <v>123</v>
      </c>
      <c r="J15" s="32">
        <f t="shared" si="2"/>
        <v>43831</v>
      </c>
      <c r="K15" s="31">
        <v>200</v>
      </c>
    </row>
    <row r="16" spans="1:11" x14ac:dyDescent="0.3">
      <c r="A16" t="s">
        <v>7</v>
      </c>
      <c r="B16" t="s">
        <v>46</v>
      </c>
      <c r="C16" t="s">
        <v>9</v>
      </c>
      <c r="E16" s="3">
        <f t="shared" si="3"/>
        <v>43374</v>
      </c>
      <c r="F16" s="3" t="e">
        <f t="shared" si="0"/>
        <v>#VALUE!</v>
      </c>
      <c r="G16" t="s">
        <v>30</v>
      </c>
      <c r="H16" s="32">
        <f t="shared" si="1"/>
        <v>43556</v>
      </c>
      <c r="I16" s="31" t="s">
        <v>123</v>
      </c>
      <c r="J16" s="32">
        <f t="shared" si="2"/>
        <v>43831</v>
      </c>
      <c r="K16" s="31">
        <v>200</v>
      </c>
    </row>
    <row r="17" spans="1:11" x14ac:dyDescent="0.3">
      <c r="A17" t="s">
        <v>7</v>
      </c>
      <c r="B17" t="s">
        <v>48</v>
      </c>
      <c r="C17" t="s">
        <v>9</v>
      </c>
      <c r="D17" t="s">
        <v>10</v>
      </c>
      <c r="E17" s="3">
        <f t="shared" si="3"/>
        <v>43374</v>
      </c>
      <c r="F17" s="3">
        <f t="shared" si="0"/>
        <v>43101</v>
      </c>
      <c r="G17" t="s">
        <v>30</v>
      </c>
      <c r="H17" s="32">
        <f t="shared" si="1"/>
        <v>43556</v>
      </c>
      <c r="I17" s="31" t="s">
        <v>123</v>
      </c>
      <c r="J17" s="32">
        <f t="shared" si="2"/>
        <v>43831</v>
      </c>
      <c r="K17" s="31">
        <v>200</v>
      </c>
    </row>
    <row r="18" spans="1:11" x14ac:dyDescent="0.3">
      <c r="A18" t="s">
        <v>26</v>
      </c>
      <c r="B18" t="s">
        <v>50</v>
      </c>
      <c r="C18" t="s">
        <v>20</v>
      </c>
      <c r="E18" s="3">
        <f t="shared" si="3"/>
        <v>43466</v>
      </c>
      <c r="F18" s="3" t="e">
        <f t="shared" si="0"/>
        <v>#VALUE!</v>
      </c>
      <c r="G18" t="s">
        <v>13</v>
      </c>
      <c r="H18" s="32">
        <f t="shared" si="1"/>
        <v>43466</v>
      </c>
      <c r="I18" s="31" t="s">
        <v>13</v>
      </c>
      <c r="J18" s="32">
        <f t="shared" si="2"/>
        <v>43466</v>
      </c>
      <c r="K18" s="31"/>
    </row>
    <row r="19" spans="1:11" x14ac:dyDescent="0.3">
      <c r="A19" t="s">
        <v>7</v>
      </c>
      <c r="B19" t="s">
        <v>52</v>
      </c>
      <c r="C19" t="s">
        <v>20</v>
      </c>
      <c r="D19" t="s">
        <v>53</v>
      </c>
      <c r="E19" s="3">
        <f t="shared" si="3"/>
        <v>43466</v>
      </c>
      <c r="F19" s="3">
        <f t="shared" si="0"/>
        <v>42826</v>
      </c>
      <c r="G19" t="s">
        <v>13</v>
      </c>
      <c r="H19" s="32">
        <f t="shared" si="1"/>
        <v>43466</v>
      </c>
      <c r="I19" s="31" t="s">
        <v>126</v>
      </c>
      <c r="J19" s="32">
        <f t="shared" si="2"/>
        <v>43739</v>
      </c>
      <c r="K19" s="31">
        <v>300</v>
      </c>
    </row>
    <row r="20" spans="1:11" x14ac:dyDescent="0.3">
      <c r="A20" t="s">
        <v>7</v>
      </c>
      <c r="B20" t="s">
        <v>55</v>
      </c>
      <c r="C20" t="s">
        <v>9</v>
      </c>
      <c r="E20" s="3">
        <f t="shared" si="3"/>
        <v>43374</v>
      </c>
      <c r="F20" s="3" t="e">
        <f t="shared" si="0"/>
        <v>#VALUE!</v>
      </c>
      <c r="G20" t="s">
        <v>13</v>
      </c>
      <c r="H20" s="32">
        <f t="shared" si="1"/>
        <v>43466</v>
      </c>
      <c r="I20" s="31" t="s">
        <v>125</v>
      </c>
      <c r="J20" s="32">
        <f t="shared" si="2"/>
        <v>43647</v>
      </c>
      <c r="K20" s="31">
        <v>200</v>
      </c>
    </row>
    <row r="21" spans="1:11" x14ac:dyDescent="0.3">
      <c r="A21" t="s">
        <v>7</v>
      </c>
      <c r="B21" t="s">
        <v>57</v>
      </c>
      <c r="C21" t="s">
        <v>9</v>
      </c>
      <c r="D21" t="s">
        <v>10</v>
      </c>
      <c r="E21" s="3">
        <f t="shared" si="3"/>
        <v>43374</v>
      </c>
      <c r="F21" s="3">
        <f t="shared" si="0"/>
        <v>43101</v>
      </c>
      <c r="G21" t="s">
        <v>30</v>
      </c>
      <c r="H21" s="32">
        <f t="shared" si="1"/>
        <v>43556</v>
      </c>
      <c r="I21" s="31" t="s">
        <v>30</v>
      </c>
      <c r="J21" s="32">
        <f t="shared" si="2"/>
        <v>43556</v>
      </c>
      <c r="K21" s="31"/>
    </row>
    <row r="22" spans="1:11" x14ac:dyDescent="0.3">
      <c r="A22" t="s">
        <v>26</v>
      </c>
      <c r="B22" t="s">
        <v>59</v>
      </c>
      <c r="D22" t="s">
        <v>10</v>
      </c>
      <c r="E22" s="3" t="e">
        <f t="shared" si="3"/>
        <v>#VALUE!</v>
      </c>
      <c r="F22" s="3">
        <f t="shared" si="0"/>
        <v>43101</v>
      </c>
      <c r="G22" t="s">
        <v>30</v>
      </c>
      <c r="H22" s="32">
        <f t="shared" si="1"/>
        <v>43556</v>
      </c>
      <c r="I22" s="31" t="s">
        <v>123</v>
      </c>
      <c r="J22" s="32">
        <f t="shared" si="2"/>
        <v>43831</v>
      </c>
      <c r="K22" s="31">
        <v>200</v>
      </c>
    </row>
    <row r="23" spans="1:11" x14ac:dyDescent="0.3">
      <c r="A23" t="s">
        <v>7</v>
      </c>
      <c r="B23" t="s">
        <v>61</v>
      </c>
      <c r="C23" t="s">
        <v>9</v>
      </c>
      <c r="D23" t="s">
        <v>10</v>
      </c>
      <c r="E23" s="3">
        <f t="shared" si="3"/>
        <v>43374</v>
      </c>
      <c r="F23" s="3">
        <f t="shared" si="0"/>
        <v>43101</v>
      </c>
      <c r="G23" t="s">
        <v>37</v>
      </c>
      <c r="H23" s="32">
        <f t="shared" si="1"/>
        <v>43374</v>
      </c>
      <c r="I23" s="31" t="s">
        <v>123</v>
      </c>
      <c r="J23" s="32">
        <f t="shared" si="2"/>
        <v>43831</v>
      </c>
      <c r="K23" s="31">
        <v>500</v>
      </c>
    </row>
    <row r="24" spans="1:11" x14ac:dyDescent="0.3">
      <c r="A24" t="s">
        <v>7</v>
      </c>
      <c r="B24" t="s">
        <v>63</v>
      </c>
      <c r="D24" t="s">
        <v>10</v>
      </c>
      <c r="E24" s="3" t="e">
        <f t="shared" si="3"/>
        <v>#VALUE!</v>
      </c>
      <c r="F24" s="3">
        <f t="shared" si="0"/>
        <v>43101</v>
      </c>
      <c r="G24" t="s">
        <v>37</v>
      </c>
      <c r="H24" s="32">
        <f t="shared" si="1"/>
        <v>43374</v>
      </c>
      <c r="I24" s="31" t="s">
        <v>123</v>
      </c>
      <c r="J24" s="32">
        <f t="shared" si="2"/>
        <v>43831</v>
      </c>
      <c r="K24" s="31">
        <v>200</v>
      </c>
    </row>
    <row r="25" spans="1:11" x14ac:dyDescent="0.3">
      <c r="A25" t="s">
        <v>26</v>
      </c>
      <c r="B25" t="s">
        <v>64</v>
      </c>
      <c r="C25" t="s">
        <v>65</v>
      </c>
      <c r="D25" t="s">
        <v>10</v>
      </c>
      <c r="E25" s="3">
        <f t="shared" si="3"/>
        <v>43282</v>
      </c>
      <c r="F25" s="3">
        <f t="shared" si="0"/>
        <v>43101</v>
      </c>
      <c r="G25" t="s">
        <v>30</v>
      </c>
      <c r="H25" s="32">
        <f t="shared" si="1"/>
        <v>43556</v>
      </c>
      <c r="I25" s="31" t="s">
        <v>123</v>
      </c>
      <c r="J25" s="32">
        <f t="shared" si="2"/>
        <v>43831</v>
      </c>
      <c r="K25" s="31">
        <v>200</v>
      </c>
    </row>
    <row r="26" spans="1:11" x14ac:dyDescent="0.3">
      <c r="A26" t="s">
        <v>7</v>
      </c>
      <c r="B26" t="s">
        <v>66</v>
      </c>
      <c r="C26" t="s">
        <v>9</v>
      </c>
      <c r="D26" t="s">
        <v>10</v>
      </c>
      <c r="E26" s="3">
        <f t="shared" si="3"/>
        <v>43374</v>
      </c>
      <c r="F26" s="3">
        <f t="shared" si="0"/>
        <v>43101</v>
      </c>
      <c r="G26" t="s">
        <v>30</v>
      </c>
      <c r="H26" s="32">
        <f t="shared" si="1"/>
        <v>43556</v>
      </c>
      <c r="I26" s="31" t="s">
        <v>123</v>
      </c>
      <c r="J26" s="32">
        <f t="shared" si="2"/>
        <v>43831</v>
      </c>
      <c r="K26" s="31">
        <v>200</v>
      </c>
    </row>
    <row r="27" spans="1:11" x14ac:dyDescent="0.3">
      <c r="A27" t="s">
        <v>7</v>
      </c>
      <c r="B27" t="s">
        <v>67</v>
      </c>
      <c r="C27" t="s">
        <v>9</v>
      </c>
      <c r="D27" t="s">
        <v>10</v>
      </c>
      <c r="E27" s="3">
        <f t="shared" si="3"/>
        <v>43374</v>
      </c>
      <c r="F27" s="3">
        <f t="shared" si="0"/>
        <v>43101</v>
      </c>
      <c r="G27" t="s">
        <v>30</v>
      </c>
      <c r="H27" s="32">
        <f t="shared" si="1"/>
        <v>43556</v>
      </c>
      <c r="I27" s="31" t="s">
        <v>123</v>
      </c>
      <c r="J27" s="32">
        <f t="shared" si="2"/>
        <v>43831</v>
      </c>
      <c r="K27" s="31">
        <v>200</v>
      </c>
    </row>
    <row r="28" spans="1:11" x14ac:dyDescent="0.3">
      <c r="A28" t="s">
        <v>7</v>
      </c>
      <c r="B28" t="s">
        <v>68</v>
      </c>
      <c r="C28" t="s">
        <v>9</v>
      </c>
      <c r="D28" t="s">
        <v>10</v>
      </c>
      <c r="E28" s="3">
        <f t="shared" si="3"/>
        <v>43374</v>
      </c>
      <c r="F28" s="3">
        <f t="shared" si="0"/>
        <v>43101</v>
      </c>
      <c r="G28" t="s">
        <v>13</v>
      </c>
      <c r="H28" s="32">
        <f t="shared" si="1"/>
        <v>43466</v>
      </c>
      <c r="I28" s="31" t="s">
        <v>123</v>
      </c>
      <c r="J28" s="32">
        <f t="shared" si="2"/>
        <v>43831</v>
      </c>
      <c r="K28" s="31">
        <v>200</v>
      </c>
    </row>
    <row r="29" spans="1:11" x14ac:dyDescent="0.3">
      <c r="A29" t="s">
        <v>26</v>
      </c>
      <c r="B29" t="s">
        <v>70</v>
      </c>
      <c r="C29" t="s">
        <v>9</v>
      </c>
      <c r="D29" t="s">
        <v>10</v>
      </c>
      <c r="E29" s="3">
        <f t="shared" si="3"/>
        <v>43374</v>
      </c>
      <c r="F29" s="3">
        <f t="shared" si="0"/>
        <v>43101</v>
      </c>
      <c r="G29" t="s">
        <v>37</v>
      </c>
      <c r="H29" s="32">
        <f t="shared" si="1"/>
        <v>43374</v>
      </c>
      <c r="I29" s="31" t="s">
        <v>123</v>
      </c>
      <c r="J29" s="32">
        <f t="shared" si="2"/>
        <v>43831</v>
      </c>
      <c r="K29" s="31">
        <v>200</v>
      </c>
    </row>
    <row r="30" spans="1:11" x14ac:dyDescent="0.3">
      <c r="A30" t="s">
        <v>26</v>
      </c>
      <c r="B30" t="s">
        <v>72</v>
      </c>
      <c r="C30" t="s">
        <v>20</v>
      </c>
      <c r="D30" t="s">
        <v>65</v>
      </c>
      <c r="E30" s="3">
        <f t="shared" si="3"/>
        <v>43466</v>
      </c>
      <c r="F30" s="3">
        <f t="shared" si="0"/>
        <v>43282</v>
      </c>
      <c r="G30" t="s">
        <v>30</v>
      </c>
      <c r="H30" s="32">
        <f t="shared" si="1"/>
        <v>43556</v>
      </c>
      <c r="I30" s="31" t="s">
        <v>126</v>
      </c>
      <c r="J30" s="32">
        <f t="shared" si="2"/>
        <v>43739</v>
      </c>
      <c r="K30" s="31">
        <v>200</v>
      </c>
    </row>
    <row r="31" spans="1:11" x14ac:dyDescent="0.3">
      <c r="A31" t="s">
        <v>7</v>
      </c>
      <c r="B31" t="s">
        <v>74</v>
      </c>
      <c r="C31" t="s">
        <v>20</v>
      </c>
      <c r="D31" t="s">
        <v>28</v>
      </c>
      <c r="E31" s="3">
        <f t="shared" si="3"/>
        <v>43466</v>
      </c>
      <c r="F31" s="3">
        <f t="shared" si="0"/>
        <v>42736</v>
      </c>
      <c r="G31" t="s">
        <v>30</v>
      </c>
      <c r="H31" s="32">
        <f t="shared" si="1"/>
        <v>43556</v>
      </c>
      <c r="I31" s="31" t="s">
        <v>123</v>
      </c>
      <c r="J31" s="32">
        <f t="shared" si="2"/>
        <v>43831</v>
      </c>
      <c r="K31" s="31">
        <v>200</v>
      </c>
    </row>
    <row r="32" spans="1:11" x14ac:dyDescent="0.3">
      <c r="A32" t="s">
        <v>7</v>
      </c>
      <c r="B32" t="s">
        <v>76</v>
      </c>
      <c r="C32" t="s">
        <v>9</v>
      </c>
      <c r="D32" t="s">
        <v>10</v>
      </c>
      <c r="E32" s="3">
        <f t="shared" si="3"/>
        <v>43374</v>
      </c>
      <c r="F32" s="3">
        <f t="shared" si="0"/>
        <v>43101</v>
      </c>
      <c r="G32" t="s">
        <v>13</v>
      </c>
      <c r="H32" s="32">
        <f t="shared" si="1"/>
        <v>43466</v>
      </c>
      <c r="I32" s="31" t="s">
        <v>127</v>
      </c>
      <c r="J32" s="32">
        <f t="shared" si="2"/>
        <v>43831</v>
      </c>
      <c r="K32" s="31">
        <v>200</v>
      </c>
    </row>
    <row r="33" spans="1:11" x14ac:dyDescent="0.3">
      <c r="A33" t="s">
        <v>7</v>
      </c>
      <c r="B33" t="s">
        <v>77</v>
      </c>
      <c r="C33" t="s">
        <v>9</v>
      </c>
      <c r="E33" s="3">
        <f t="shared" si="3"/>
        <v>43374</v>
      </c>
      <c r="F33" s="3" t="e">
        <f t="shared" si="0"/>
        <v>#VALUE!</v>
      </c>
      <c r="G33" t="s">
        <v>30</v>
      </c>
      <c r="H33" s="32">
        <f t="shared" si="1"/>
        <v>43556</v>
      </c>
      <c r="I33" s="31" t="s">
        <v>123</v>
      </c>
      <c r="J33" s="32">
        <f t="shared" si="2"/>
        <v>43831</v>
      </c>
      <c r="K33" s="31">
        <v>200</v>
      </c>
    </row>
    <row r="34" spans="1:11" x14ac:dyDescent="0.3">
      <c r="A34" t="s">
        <v>7</v>
      </c>
      <c r="B34" t="s">
        <v>78</v>
      </c>
      <c r="C34" t="s">
        <v>65</v>
      </c>
      <c r="D34" t="s">
        <v>79</v>
      </c>
      <c r="E34" s="3">
        <f t="shared" ref="E34:E52" si="4">DATE(LEFT(C34, 4),CHOOSE(RIGHT(C34,1),1,4,7,10),1)</f>
        <v>43282</v>
      </c>
      <c r="F34" s="3">
        <f t="shared" ref="F34:F52" si="5">DATE(LEFT(D34, 4),CHOOSE(RIGHT(D34,1),1,4,7,10),1)</f>
        <v>43009</v>
      </c>
      <c r="G34" t="s">
        <v>13</v>
      </c>
      <c r="H34" s="32">
        <f t="shared" ref="H34:H65" si="6">DATE(LEFT(G34, 4),CHOOSE(RIGHT(G34,1),1,4,7,10),1)</f>
        <v>43466</v>
      </c>
      <c r="I34" s="31" t="s">
        <v>13</v>
      </c>
      <c r="J34" s="32">
        <f t="shared" ref="J34:J65" si="7">DATE(LEFT(I34, 4),CHOOSE(RIGHT(I34,1),1,4,7,10),1)</f>
        <v>43466</v>
      </c>
      <c r="K34" s="31"/>
    </row>
    <row r="35" spans="1:11" x14ac:dyDescent="0.3">
      <c r="A35" t="s">
        <v>7</v>
      </c>
      <c r="B35" t="s">
        <v>81</v>
      </c>
      <c r="C35" t="s">
        <v>9</v>
      </c>
      <c r="D35" t="s">
        <v>82</v>
      </c>
      <c r="E35" s="3">
        <f t="shared" si="4"/>
        <v>43374</v>
      </c>
      <c r="F35" s="3">
        <f t="shared" si="5"/>
        <v>42644</v>
      </c>
      <c r="G35" t="s">
        <v>37</v>
      </c>
      <c r="H35" s="32">
        <f t="shared" si="6"/>
        <v>43374</v>
      </c>
      <c r="I35" s="31" t="s">
        <v>123</v>
      </c>
      <c r="J35" s="32">
        <f t="shared" si="7"/>
        <v>43831</v>
      </c>
      <c r="K35" s="31">
        <v>150</v>
      </c>
    </row>
    <row r="36" spans="1:11" x14ac:dyDescent="0.3">
      <c r="A36" t="s">
        <v>7</v>
      </c>
      <c r="B36" t="s">
        <v>83</v>
      </c>
      <c r="C36" t="s">
        <v>9</v>
      </c>
      <c r="D36" t="s">
        <v>10</v>
      </c>
      <c r="E36" s="3">
        <f t="shared" si="4"/>
        <v>43374</v>
      </c>
      <c r="F36" s="3">
        <f t="shared" si="5"/>
        <v>43101</v>
      </c>
      <c r="G36" t="s">
        <v>13</v>
      </c>
      <c r="H36" s="32">
        <f t="shared" si="6"/>
        <v>43466</v>
      </c>
      <c r="I36" s="31" t="s">
        <v>123</v>
      </c>
      <c r="J36" s="32">
        <f t="shared" si="7"/>
        <v>43831</v>
      </c>
      <c r="K36" s="31">
        <v>200</v>
      </c>
    </row>
    <row r="37" spans="1:11" x14ac:dyDescent="0.3">
      <c r="A37" t="s">
        <v>7</v>
      </c>
      <c r="B37" t="s">
        <v>84</v>
      </c>
      <c r="C37" t="s">
        <v>9</v>
      </c>
      <c r="E37" s="3">
        <f t="shared" si="4"/>
        <v>43374</v>
      </c>
      <c r="F37" s="3" t="e">
        <f t="shared" si="5"/>
        <v>#VALUE!</v>
      </c>
      <c r="G37" t="s">
        <v>13</v>
      </c>
      <c r="H37" s="32">
        <f t="shared" si="6"/>
        <v>43466</v>
      </c>
      <c r="I37" s="31" t="s">
        <v>123</v>
      </c>
      <c r="J37" s="32">
        <f t="shared" si="7"/>
        <v>43831</v>
      </c>
      <c r="K37" s="31">
        <v>200</v>
      </c>
    </row>
    <row r="38" spans="1:11" x14ac:dyDescent="0.3">
      <c r="A38" t="s">
        <v>26</v>
      </c>
      <c r="B38" t="s">
        <v>85</v>
      </c>
      <c r="C38" t="s">
        <v>9</v>
      </c>
      <c r="D38" t="s">
        <v>10</v>
      </c>
      <c r="E38" s="3">
        <f t="shared" si="4"/>
        <v>43374</v>
      </c>
      <c r="F38" s="3">
        <f t="shared" si="5"/>
        <v>43101</v>
      </c>
      <c r="G38" t="s">
        <v>30</v>
      </c>
      <c r="H38" s="32">
        <f t="shared" si="6"/>
        <v>43556</v>
      </c>
      <c r="I38" s="31" t="s">
        <v>123</v>
      </c>
      <c r="J38" s="32">
        <f t="shared" si="7"/>
        <v>43831</v>
      </c>
      <c r="K38" s="31">
        <v>300</v>
      </c>
    </row>
    <row r="39" spans="1:11" x14ac:dyDescent="0.3">
      <c r="A39" t="s">
        <v>26</v>
      </c>
      <c r="B39" t="s">
        <v>86</v>
      </c>
      <c r="C39" t="s">
        <v>65</v>
      </c>
      <c r="D39" t="s">
        <v>39</v>
      </c>
      <c r="E39" s="3">
        <f t="shared" si="4"/>
        <v>43282</v>
      </c>
      <c r="F39" s="3">
        <f t="shared" si="5"/>
        <v>42917</v>
      </c>
      <c r="G39" t="s">
        <v>30</v>
      </c>
      <c r="H39" s="32">
        <f t="shared" si="6"/>
        <v>43556</v>
      </c>
      <c r="I39" s="31" t="s">
        <v>123</v>
      </c>
      <c r="J39" s="32">
        <f t="shared" si="7"/>
        <v>43831</v>
      </c>
      <c r="K39" s="31">
        <v>200</v>
      </c>
    </row>
    <row r="40" spans="1:11" x14ac:dyDescent="0.3">
      <c r="A40" t="s">
        <v>26</v>
      </c>
      <c r="B40" t="s">
        <v>88</v>
      </c>
      <c r="C40" t="s">
        <v>20</v>
      </c>
      <c r="D40" t="s">
        <v>10</v>
      </c>
      <c r="E40" s="3">
        <f t="shared" si="4"/>
        <v>43466</v>
      </c>
      <c r="F40" s="3">
        <f t="shared" si="5"/>
        <v>43101</v>
      </c>
      <c r="G40" t="s">
        <v>89</v>
      </c>
      <c r="H40" s="32" t="e">
        <f t="shared" si="6"/>
        <v>#VALUE!</v>
      </c>
      <c r="I40" s="31" t="s">
        <v>30</v>
      </c>
      <c r="J40" s="32">
        <f t="shared" si="7"/>
        <v>43556</v>
      </c>
      <c r="K40" s="31"/>
    </row>
    <row r="41" spans="1:11" x14ac:dyDescent="0.3">
      <c r="A41" t="s">
        <v>26</v>
      </c>
      <c r="B41" t="s">
        <v>90</v>
      </c>
      <c r="C41" t="s">
        <v>20</v>
      </c>
      <c r="D41" t="s">
        <v>10</v>
      </c>
      <c r="E41" s="3">
        <f t="shared" si="4"/>
        <v>43466</v>
      </c>
      <c r="F41" s="3">
        <f t="shared" si="5"/>
        <v>43101</v>
      </c>
      <c r="G41" t="s">
        <v>30</v>
      </c>
      <c r="H41" s="32">
        <f t="shared" si="6"/>
        <v>43556</v>
      </c>
      <c r="I41" s="31" t="s">
        <v>123</v>
      </c>
      <c r="J41" s="32">
        <f t="shared" si="7"/>
        <v>43831</v>
      </c>
      <c r="K41" s="31">
        <v>200</v>
      </c>
    </row>
    <row r="42" spans="1:11" x14ac:dyDescent="0.3">
      <c r="A42" t="s">
        <v>26</v>
      </c>
      <c r="B42" t="s">
        <v>92</v>
      </c>
      <c r="C42" t="s">
        <v>93</v>
      </c>
      <c r="D42" t="s">
        <v>79</v>
      </c>
      <c r="E42" s="3">
        <f t="shared" si="4"/>
        <v>43191</v>
      </c>
      <c r="F42" s="3">
        <f t="shared" si="5"/>
        <v>43009</v>
      </c>
      <c r="G42" t="s">
        <v>30</v>
      </c>
      <c r="H42" s="32">
        <f t="shared" si="6"/>
        <v>43556</v>
      </c>
      <c r="I42" s="31" t="s">
        <v>125</v>
      </c>
      <c r="J42" s="32">
        <f t="shared" si="7"/>
        <v>43647</v>
      </c>
      <c r="K42" s="31">
        <v>200</v>
      </c>
    </row>
    <row r="43" spans="1:11" x14ac:dyDescent="0.3">
      <c r="A43" t="s">
        <v>7</v>
      </c>
      <c r="B43" t="s">
        <v>94</v>
      </c>
      <c r="C43" t="s">
        <v>9</v>
      </c>
      <c r="D43" t="s">
        <v>10</v>
      </c>
      <c r="E43" s="3">
        <f t="shared" si="4"/>
        <v>43374</v>
      </c>
      <c r="F43" s="3">
        <f t="shared" si="5"/>
        <v>43101</v>
      </c>
      <c r="G43" t="s">
        <v>30</v>
      </c>
      <c r="H43" s="32">
        <f t="shared" si="6"/>
        <v>43556</v>
      </c>
      <c r="I43" s="31" t="s">
        <v>123</v>
      </c>
      <c r="J43" s="32">
        <f t="shared" si="7"/>
        <v>43831</v>
      </c>
      <c r="K43" s="31">
        <v>200</v>
      </c>
    </row>
    <row r="44" spans="1:11" x14ac:dyDescent="0.3">
      <c r="A44" t="s">
        <v>7</v>
      </c>
      <c r="B44" t="s">
        <v>95</v>
      </c>
      <c r="C44" t="s">
        <v>9</v>
      </c>
      <c r="D44" t="s">
        <v>44</v>
      </c>
      <c r="E44" s="3">
        <f t="shared" si="4"/>
        <v>43374</v>
      </c>
      <c r="F44" s="3">
        <f t="shared" si="5"/>
        <v>42095</v>
      </c>
      <c r="G44" t="s">
        <v>30</v>
      </c>
      <c r="H44" s="32">
        <f t="shared" si="6"/>
        <v>43556</v>
      </c>
      <c r="I44" s="31" t="s">
        <v>123</v>
      </c>
      <c r="J44" s="32">
        <f t="shared" si="7"/>
        <v>43831</v>
      </c>
      <c r="K44" s="31">
        <v>200</v>
      </c>
    </row>
    <row r="45" spans="1:11" x14ac:dyDescent="0.3">
      <c r="A45" t="s">
        <v>26</v>
      </c>
      <c r="B45" t="s">
        <v>97</v>
      </c>
      <c r="C45" t="s">
        <v>9</v>
      </c>
      <c r="D45" t="s">
        <v>10</v>
      </c>
      <c r="E45" s="3">
        <f t="shared" si="4"/>
        <v>43374</v>
      </c>
      <c r="F45" s="3">
        <f t="shared" si="5"/>
        <v>43101</v>
      </c>
      <c r="G45" t="s">
        <v>13</v>
      </c>
      <c r="H45" s="32">
        <f t="shared" si="6"/>
        <v>43466</v>
      </c>
      <c r="I45" s="31" t="s">
        <v>123</v>
      </c>
      <c r="J45" s="32">
        <f t="shared" si="7"/>
        <v>43831</v>
      </c>
      <c r="K45" s="31">
        <v>200</v>
      </c>
    </row>
    <row r="46" spans="1:11" x14ac:dyDescent="0.3">
      <c r="A46" t="s">
        <v>26</v>
      </c>
      <c r="B46" t="s">
        <v>98</v>
      </c>
      <c r="C46" t="s">
        <v>93</v>
      </c>
      <c r="D46" t="s">
        <v>39</v>
      </c>
      <c r="E46" s="3">
        <f t="shared" si="4"/>
        <v>43191</v>
      </c>
      <c r="F46" s="3">
        <f t="shared" si="5"/>
        <v>42917</v>
      </c>
      <c r="G46" t="s">
        <v>30</v>
      </c>
      <c r="H46" s="32">
        <f t="shared" si="6"/>
        <v>43556</v>
      </c>
      <c r="I46" s="31" t="s">
        <v>123</v>
      </c>
      <c r="J46" s="32">
        <f t="shared" si="7"/>
        <v>43831</v>
      </c>
      <c r="K46" s="31">
        <v>200</v>
      </c>
    </row>
    <row r="47" spans="1:11" x14ac:dyDescent="0.3">
      <c r="A47" t="s">
        <v>26</v>
      </c>
      <c r="B47" t="s">
        <v>100</v>
      </c>
      <c r="C47" t="s">
        <v>9</v>
      </c>
      <c r="D47" t="s">
        <v>28</v>
      </c>
      <c r="E47" s="3">
        <f t="shared" si="4"/>
        <v>43374</v>
      </c>
      <c r="F47" s="3">
        <f t="shared" si="5"/>
        <v>42736</v>
      </c>
      <c r="G47" t="s">
        <v>37</v>
      </c>
      <c r="H47" s="32">
        <f t="shared" si="6"/>
        <v>43374</v>
      </c>
      <c r="I47" s="31" t="s">
        <v>123</v>
      </c>
      <c r="J47" s="32">
        <f t="shared" si="7"/>
        <v>43831</v>
      </c>
      <c r="K47" s="31">
        <v>200</v>
      </c>
    </row>
    <row r="48" spans="1:11" x14ac:dyDescent="0.3">
      <c r="A48" t="s">
        <v>26</v>
      </c>
      <c r="B48" t="s">
        <v>102</v>
      </c>
      <c r="C48" t="s">
        <v>65</v>
      </c>
      <c r="D48" t="s">
        <v>53</v>
      </c>
      <c r="E48" s="3">
        <f t="shared" si="4"/>
        <v>43282</v>
      </c>
      <c r="F48" s="3">
        <f t="shared" si="5"/>
        <v>42826</v>
      </c>
      <c r="G48" t="s">
        <v>104</v>
      </c>
      <c r="H48" s="32">
        <f t="shared" si="6"/>
        <v>43282</v>
      </c>
      <c r="I48" s="31" t="s">
        <v>125</v>
      </c>
      <c r="J48" s="32">
        <f t="shared" si="7"/>
        <v>43647</v>
      </c>
      <c r="K48" s="31">
        <v>200</v>
      </c>
    </row>
    <row r="49" spans="1:11" x14ac:dyDescent="0.3">
      <c r="A49" t="s">
        <v>26</v>
      </c>
      <c r="B49" t="s">
        <v>105</v>
      </c>
      <c r="C49" t="s">
        <v>9</v>
      </c>
      <c r="D49" t="s">
        <v>10</v>
      </c>
      <c r="E49" s="3">
        <f t="shared" si="4"/>
        <v>43374</v>
      </c>
      <c r="F49" s="3">
        <f t="shared" si="5"/>
        <v>43101</v>
      </c>
      <c r="G49" t="s">
        <v>37</v>
      </c>
      <c r="H49" s="32">
        <f t="shared" si="6"/>
        <v>43374</v>
      </c>
      <c r="I49" s="31" t="s">
        <v>126</v>
      </c>
      <c r="J49" s="32">
        <f t="shared" si="7"/>
        <v>43739</v>
      </c>
      <c r="K49" s="31">
        <v>500</v>
      </c>
    </row>
    <row r="50" spans="1:11" x14ac:dyDescent="0.3">
      <c r="A50" t="s">
        <v>107</v>
      </c>
      <c r="B50" t="s">
        <v>108</v>
      </c>
      <c r="C50" t="s">
        <v>20</v>
      </c>
      <c r="E50" s="3">
        <f t="shared" si="4"/>
        <v>43466</v>
      </c>
      <c r="F50" s="3" t="e">
        <f t="shared" si="5"/>
        <v>#VALUE!</v>
      </c>
      <c r="G50" t="s">
        <v>13</v>
      </c>
      <c r="H50" s="32">
        <f t="shared" si="6"/>
        <v>43466</v>
      </c>
      <c r="I50" s="31" t="s">
        <v>123</v>
      </c>
      <c r="J50" s="32">
        <f t="shared" si="7"/>
        <v>43831</v>
      </c>
      <c r="K50" s="31">
        <v>200</v>
      </c>
    </row>
    <row r="51" spans="1:11" x14ac:dyDescent="0.3">
      <c r="A51" t="s">
        <v>107</v>
      </c>
      <c r="B51" t="s">
        <v>110</v>
      </c>
      <c r="C51" t="s">
        <v>9</v>
      </c>
      <c r="E51" s="3">
        <f t="shared" si="4"/>
        <v>43374</v>
      </c>
      <c r="F51" s="3" t="e">
        <f t="shared" si="5"/>
        <v>#VALUE!</v>
      </c>
      <c r="G51" t="s">
        <v>13</v>
      </c>
      <c r="H51" s="32">
        <f t="shared" si="6"/>
        <v>43466</v>
      </c>
      <c r="I51" s="31" t="s">
        <v>126</v>
      </c>
      <c r="J51" s="32">
        <f t="shared" si="7"/>
        <v>43739</v>
      </c>
      <c r="K51" s="31">
        <v>200</v>
      </c>
    </row>
    <row r="52" spans="1:11" x14ac:dyDescent="0.3">
      <c r="A52" t="s">
        <v>107</v>
      </c>
      <c r="B52" t="s">
        <v>112</v>
      </c>
      <c r="C52" t="s">
        <v>93</v>
      </c>
      <c r="E52" s="3">
        <f t="shared" si="4"/>
        <v>43191</v>
      </c>
      <c r="F52" s="3" t="e">
        <f t="shared" si="5"/>
        <v>#VALUE!</v>
      </c>
      <c r="G52" t="s">
        <v>13</v>
      </c>
      <c r="H52" s="32">
        <f t="shared" si="6"/>
        <v>43466</v>
      </c>
      <c r="I52" s="31" t="s">
        <v>123</v>
      </c>
      <c r="J52" s="32">
        <f t="shared" si="7"/>
        <v>43831</v>
      </c>
      <c r="K52" s="31">
        <v>200</v>
      </c>
    </row>
    <row r="53" spans="1:11" x14ac:dyDescent="0.3">
      <c r="G53" s="12"/>
      <c r="H53" s="12"/>
    </row>
    <row r="55" spans="1:11" x14ac:dyDescent="0.3">
      <c r="A55" s="30"/>
      <c r="B55" s="15"/>
    </row>
    <row r="56" spans="1:11" x14ac:dyDescent="0.3">
      <c r="A56" s="30"/>
      <c r="B56" s="22"/>
    </row>
    <row r="57" spans="1:11" x14ac:dyDescent="0.3">
      <c r="A57" s="30"/>
      <c r="B57" s="23"/>
    </row>
  </sheetData>
  <conditionalFormatting sqref="I1:I1048576">
    <cfRule type="expression" dxfId="0" priority="2">
      <formula>$J1&gt;$H1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B21D-1558-438F-8865-21062D3CDFCD}">
  <dimension ref="A3:B7"/>
  <sheetViews>
    <sheetView workbookViewId="0">
      <selection activeCell="Q13" sqref="Q13"/>
    </sheetView>
  </sheetViews>
  <sheetFormatPr defaultRowHeight="14.4" x14ac:dyDescent="0.3"/>
  <cols>
    <col min="1" max="1" width="12.5546875" bestFit="1" customWidth="1"/>
    <col min="2" max="2" width="11.109375" bestFit="1" customWidth="1"/>
    <col min="3" max="5" width="4" bestFit="1" customWidth="1"/>
    <col min="6" max="6" width="7" bestFit="1" customWidth="1"/>
    <col min="7" max="7" width="10.77734375" bestFit="1" customWidth="1"/>
    <col min="8" max="12" width="7" bestFit="1" customWidth="1"/>
    <col min="13" max="13" width="7.44140625" bestFit="1" customWidth="1"/>
    <col min="14" max="14" width="10.77734375" bestFit="1" customWidth="1"/>
  </cols>
  <sheetData>
    <row r="3" spans="1:2" x14ac:dyDescent="0.3">
      <c r="A3" s="33" t="s">
        <v>129</v>
      </c>
      <c r="B3" t="s">
        <v>130</v>
      </c>
    </row>
    <row r="4" spans="1:2" x14ac:dyDescent="0.3">
      <c r="A4" s="29" t="s">
        <v>26</v>
      </c>
      <c r="B4" s="34">
        <v>3400</v>
      </c>
    </row>
    <row r="5" spans="1:2" x14ac:dyDescent="0.3">
      <c r="A5" s="29" t="s">
        <v>107</v>
      </c>
      <c r="B5" s="34">
        <v>600</v>
      </c>
    </row>
    <row r="6" spans="1:2" x14ac:dyDescent="0.3">
      <c r="A6" s="29" t="s">
        <v>7</v>
      </c>
      <c r="B6" s="34">
        <v>5500</v>
      </c>
    </row>
    <row r="7" spans="1:2" x14ac:dyDescent="0.3">
      <c r="A7" s="29" t="s">
        <v>128</v>
      </c>
      <c r="B7" s="34">
        <v>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Former_Spreadsheet</vt:lpstr>
      <vt:lpstr>Revised_Spreadsheet</vt:lpstr>
      <vt:lpstr>FinalCosts_ByRegion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Domiano, Robert</dc:creator>
  <cp:lastModifiedBy>Domiano, Robert</cp:lastModifiedBy>
  <dcterms:created xsi:type="dcterms:W3CDTF">2020-02-24T17:14:12Z</dcterms:created>
  <dcterms:modified xsi:type="dcterms:W3CDTF">2020-02-24T20:15:38Z</dcterms:modified>
</cp:coreProperties>
</file>